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70\Downloads\EAT\"/>
    </mc:Choice>
  </mc:AlternateContent>
  <xr:revisionPtr revIDLastSave="0" documentId="8_{23DE292E-D213-4B6C-8619-5CCD2A1F8BDB}" xr6:coauthVersionLast="45" xr6:coauthVersionMax="45" xr10:uidLastSave="{00000000-0000-0000-0000-000000000000}"/>
  <bookViews>
    <workbookView xWindow="1920" yWindow="1920" windowWidth="19890" windowHeight="10440" tabRatio="887" firstSheet="5" activeTab="5" xr2:uid="{00000000-000D-0000-FFFF-FFFF00000000}"/>
  </bookViews>
  <sheets>
    <sheet name="Арт-Этюд" sheetId="9" state="hidden" r:id="rId1"/>
    <sheet name="16" sheetId="1" state="hidden" r:id="rId2"/>
    <sheet name="1 Мл" sheetId="30" state="hidden" r:id="rId3"/>
    <sheet name="1 Ст" sheetId="31" state="hidden" r:id="rId4"/>
    <sheet name="17" sheetId="33" state="hidden" r:id="rId5"/>
    <sheet name="19" sheetId="34" r:id="rId6"/>
    <sheet name="64" sheetId="35" state="hidden" r:id="rId7"/>
    <sheet name="85" sheetId="36" state="hidden" r:id="rId8"/>
    <sheet name="109-1" sheetId="37" state="hidden" r:id="rId9"/>
    <sheet name="109-2" sheetId="38" state="hidden" r:id="rId10"/>
    <sheet name="181-1" sheetId="39" state="hidden" r:id="rId11"/>
    <sheet name="181-2" sheetId="40" state="hidden" r:id="rId12"/>
    <sheet name="71" sheetId="41" state="hidden" r:id="rId13"/>
    <sheet name="3" sheetId="42" state="hidden" r:id="rId14"/>
    <sheet name="24" sheetId="44" state="hidden" r:id="rId15"/>
    <sheet name="36" sheetId="45" state="hidden" r:id="rId16"/>
    <sheet name="82" sheetId="46" state="hidden" r:id="rId17"/>
    <sheet name="96" sheetId="47" state="hidden" r:id="rId18"/>
    <sheet name="120" sheetId="48" state="hidden" r:id="rId19"/>
    <sheet name="140" sheetId="49" state="hidden" r:id="rId20"/>
    <sheet name="5-1" sheetId="50" state="hidden" r:id="rId21"/>
    <sheet name="5-2" sheetId="51" state="hidden" r:id="rId22"/>
    <sheet name="55" sheetId="52" state="hidden" r:id="rId23"/>
    <sheet name="154" sheetId="53" state="hidden" r:id="rId24"/>
    <sheet name="161" sheetId="54" state="hidden" r:id="rId25"/>
    <sheet name="Реестр" sheetId="27" state="hidden" r:id="rId26"/>
    <sheet name="16 Мл" sheetId="10" state="hidden" r:id="rId27"/>
    <sheet name="16 Ст" sheetId="11" state="hidden" r:id="rId28"/>
    <sheet name="17 Мл" sheetId="12" state="hidden" r:id="rId29"/>
    <sheet name="17 Ст" sheetId="13" state="hidden" r:id="rId30"/>
    <sheet name="19 Мл" sheetId="15" state="hidden" r:id="rId31"/>
    <sheet name="19 Ст" sheetId="16" state="hidden" r:id="rId32"/>
    <sheet name="64 Мл" sheetId="17" state="hidden" r:id="rId33"/>
    <sheet name="64 Ст" sheetId="18" state="hidden" r:id="rId34"/>
    <sheet name="85 Мл" sheetId="19" state="hidden" r:id="rId35"/>
    <sheet name="85 Ст" sheetId="20" state="hidden" r:id="rId36"/>
    <sheet name="109 Мл" sheetId="22" state="hidden" r:id="rId37"/>
    <sheet name="109 Ст" sheetId="21" state="hidden" r:id="rId38"/>
    <sheet name="181 Ст" sheetId="23" state="hidden" r:id="rId39"/>
    <sheet name="181 Мл" sheetId="24" state="hidden" r:id="rId40"/>
    <sheet name="АЭ Мл" sheetId="25" state="hidden" r:id="rId41"/>
    <sheet name="АЭ Ст" sheetId="26" state="hidden" r:id="rId42"/>
  </sheets>
  <externalReferences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</externalReferences>
  <definedNames>
    <definedName name="_xlnm._FilterDatabase" localSheetId="8" hidden="1">'109-1'!$A$4:$I$93</definedName>
    <definedName name="_xlnm._FilterDatabase" localSheetId="9" hidden="1">'109-2'!$A$4:$I$93</definedName>
    <definedName name="_xlnm._FilterDatabase" localSheetId="18" hidden="1">'120'!$A$4:$I$93</definedName>
    <definedName name="_xlnm._FilterDatabase" localSheetId="19" hidden="1">'140'!$A$4:$I$93</definedName>
    <definedName name="_xlnm._FilterDatabase" localSheetId="23" hidden="1">'154'!$A$4:$I$93</definedName>
    <definedName name="_xlnm._FilterDatabase" localSheetId="1" hidden="1">'16'!$A$4:$I$93</definedName>
    <definedName name="_xlnm._FilterDatabase" localSheetId="24" hidden="1">'161'!$A$4:$I$93</definedName>
    <definedName name="_xlnm._FilterDatabase" localSheetId="4" hidden="1">'17'!$A$4:$I$93</definedName>
    <definedName name="_xlnm._FilterDatabase" localSheetId="10" hidden="1">'181-1'!$A$4:$I$93</definedName>
    <definedName name="_xlnm._FilterDatabase" localSheetId="11" hidden="1">'181-2'!$A$4:$I$93</definedName>
    <definedName name="_xlnm._FilterDatabase" localSheetId="5" hidden="1">'19'!$A$4:$I$93</definedName>
    <definedName name="_xlnm._FilterDatabase" localSheetId="14" hidden="1">'24'!$A$4:$I$93</definedName>
    <definedName name="_xlnm._FilterDatabase" localSheetId="13" hidden="1">'3'!$A$4:$I$93</definedName>
    <definedName name="_xlnm._FilterDatabase" localSheetId="15" hidden="1">'36'!$A$4:$I$93</definedName>
    <definedName name="_xlnm._FilterDatabase" localSheetId="20" hidden="1">'5-1'!$A$4:$I$93</definedName>
    <definedName name="_xlnm._FilterDatabase" localSheetId="21" hidden="1">'5-2'!$A$4:$I$93</definedName>
    <definedName name="_xlnm._FilterDatabase" localSheetId="22" hidden="1">'55'!$A$4:$I$93</definedName>
    <definedName name="_xlnm._FilterDatabase" localSheetId="6" hidden="1">'64'!$A$4:$I$93</definedName>
    <definedName name="_xlnm._FilterDatabase" localSheetId="12" hidden="1">'71'!$A$4:$I$93</definedName>
    <definedName name="_xlnm._FilterDatabase" localSheetId="16" hidden="1">'82'!$A$4:$I$93</definedName>
    <definedName name="_xlnm._FilterDatabase" localSheetId="7" hidden="1">'85'!$A$4:$I$93</definedName>
    <definedName name="_xlnm._FilterDatabase" localSheetId="17" hidden="1">'96'!$A$4:$I$93</definedName>
    <definedName name="_xlnm._FilterDatabase" localSheetId="0" hidden="1">'Арт-Этюд'!$A$1:$K$134</definedName>
    <definedName name="_xlnm.Print_Area" localSheetId="8">'109-1'!$A$1:$I$172</definedName>
    <definedName name="_xlnm.Print_Area" localSheetId="9">'109-2'!$A$1:$I$154</definedName>
    <definedName name="_xlnm.Print_Area" localSheetId="18">'120'!$A$1:$I$167</definedName>
    <definedName name="_xlnm.Print_Area" localSheetId="19">'140'!$A$1:$I$168</definedName>
    <definedName name="_xlnm.Print_Area" localSheetId="23">'154'!$A$1:$I$162</definedName>
    <definedName name="_xlnm.Print_Area" localSheetId="1">'16'!$A$1:$I$157</definedName>
    <definedName name="_xlnm.Print_Area" localSheetId="24">'161'!$A$1:$I$147</definedName>
    <definedName name="_xlnm.Print_Area" localSheetId="4">'17'!$A$1:$I$156</definedName>
    <definedName name="_xlnm.Print_Area" localSheetId="10">'181-1'!$A$1:$I$169</definedName>
    <definedName name="_xlnm.Print_Area" localSheetId="11">'181-2'!$A$1:$I$146</definedName>
    <definedName name="_xlnm.Print_Area" localSheetId="5">'19'!$A$1:$I$147</definedName>
    <definedName name="_xlnm.Print_Area" localSheetId="14">'24'!$A$1:$I$145</definedName>
    <definedName name="_xlnm.Print_Area" localSheetId="13">'3'!$A$1:$I$149</definedName>
    <definedName name="_xlnm.Print_Area" localSheetId="15">'36'!$A$1:$I$155</definedName>
    <definedName name="_xlnm.Print_Area" localSheetId="20">'5-1'!$A$1:$I$187</definedName>
    <definedName name="_xlnm.Print_Area" localSheetId="21">'5-2'!$A$1:$I$150</definedName>
    <definedName name="_xlnm.Print_Area" localSheetId="22">'55'!$A$1:$I$147</definedName>
    <definedName name="_xlnm.Print_Area" localSheetId="6">'64'!$A$1:$I$149</definedName>
    <definedName name="_xlnm.Print_Area" localSheetId="12">'71'!$A$1:$I$129</definedName>
    <definedName name="_xlnm.Print_Area" localSheetId="16">'82'!$A$1:$I$147</definedName>
    <definedName name="_xlnm.Print_Area" localSheetId="7">'85'!$A$1:$I$141</definedName>
    <definedName name="_xlnm.Print_Area" localSheetId="17">'96'!$A$1:$I$144</definedName>
    <definedName name="_xlnm.Print_Area" localSheetId="0">'Арт-Этюд'!$A$1:$I$153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50" i="38" l="1"/>
  <c r="G149" i="38"/>
  <c r="G148" i="38"/>
  <c r="E145" i="51" l="1"/>
  <c r="G144" i="51"/>
  <c r="G143" i="51"/>
  <c r="G142" i="51"/>
  <c r="G141" i="51"/>
  <c r="G140" i="51"/>
  <c r="G139" i="51"/>
  <c r="G138" i="51"/>
  <c r="G182" i="50"/>
  <c r="E182" i="50"/>
  <c r="G181" i="50"/>
  <c r="E181" i="50"/>
  <c r="G180" i="50"/>
  <c r="G179" i="50"/>
  <c r="G178" i="50"/>
  <c r="E178" i="50"/>
  <c r="G177" i="50"/>
  <c r="H173" i="50"/>
  <c r="G173" i="50"/>
  <c r="E173" i="50"/>
  <c r="G172" i="50"/>
  <c r="G171" i="50"/>
  <c r="G170" i="50"/>
  <c r="G169" i="50"/>
  <c r="H165" i="50"/>
  <c r="G165" i="50"/>
  <c r="E165" i="50"/>
  <c r="H164" i="50"/>
  <c r="E164" i="50"/>
  <c r="H161" i="50"/>
  <c r="G161" i="50"/>
  <c r="G160" i="50"/>
  <c r="E160" i="50"/>
  <c r="G157" i="50"/>
  <c r="G156" i="50"/>
  <c r="E156" i="50"/>
  <c r="G155" i="50"/>
  <c r="G154" i="50"/>
  <c r="G153" i="50"/>
  <c r="G140" i="40"/>
  <c r="G139" i="40"/>
  <c r="G138" i="40"/>
  <c r="G137" i="40"/>
  <c r="G136" i="40"/>
  <c r="G135" i="40"/>
  <c r="G141" i="40"/>
  <c r="G132" i="40"/>
  <c r="D132" i="40" s="1"/>
  <c r="E132" i="40"/>
  <c r="G131" i="40"/>
  <c r="D131" i="40" s="1"/>
  <c r="E131" i="40"/>
  <c r="B131" i="40"/>
  <c r="G130" i="40"/>
  <c r="G129" i="40"/>
  <c r="G128" i="40"/>
  <c r="G157" i="39"/>
  <c r="E157" i="39"/>
  <c r="G156" i="39"/>
  <c r="E156" i="39"/>
  <c r="G155" i="39"/>
  <c r="G154" i="39"/>
  <c r="G153" i="39"/>
  <c r="E153" i="39"/>
  <c r="G152" i="39"/>
  <c r="H148" i="39"/>
  <c r="G148" i="39"/>
  <c r="E148" i="39"/>
  <c r="G147" i="39"/>
  <c r="G146" i="39"/>
  <c r="G145" i="39"/>
  <c r="G144" i="39"/>
  <c r="G140" i="39"/>
  <c r="E140" i="39"/>
  <c r="G139" i="39"/>
  <c r="E139" i="39"/>
  <c r="G138" i="39"/>
  <c r="G137" i="39"/>
  <c r="G136" i="39"/>
  <c r="G135" i="39"/>
  <c r="E135" i="39"/>
  <c r="G132" i="39"/>
  <c r="G131" i="39"/>
  <c r="E131" i="39"/>
  <c r="G130" i="39"/>
  <c r="G129" i="39"/>
  <c r="G128" i="39"/>
  <c r="G137" i="38"/>
  <c r="G136" i="38"/>
  <c r="G135" i="38"/>
  <c r="G134" i="38"/>
  <c r="G133" i="38"/>
  <c r="G132" i="38"/>
  <c r="G129" i="38"/>
  <c r="G128" i="38"/>
  <c r="E167" i="37"/>
  <c r="E166" i="37"/>
  <c r="E163" i="37"/>
  <c r="H158" i="37"/>
  <c r="E158" i="37"/>
  <c r="E150" i="37"/>
  <c r="E149" i="37"/>
  <c r="E145" i="37"/>
  <c r="E141" i="37"/>
  <c r="A131" i="40" l="1"/>
  <c r="C131" i="40"/>
  <c r="A132" i="40"/>
  <c r="B132" i="40"/>
  <c r="C132" i="40"/>
  <c r="G129" i="36" l="1"/>
  <c r="G136" i="35"/>
  <c r="G135" i="35"/>
  <c r="G134" i="35"/>
  <c r="G133" i="35"/>
  <c r="G132" i="35"/>
  <c r="G131" i="35"/>
  <c r="E128" i="34"/>
  <c r="E124" i="54"/>
  <c r="E123" i="54"/>
  <c r="G120" i="54"/>
  <c r="E120" i="54"/>
  <c r="G119" i="54"/>
  <c r="E124" i="52"/>
  <c r="E123" i="52"/>
  <c r="G120" i="52"/>
  <c r="E120" i="52"/>
  <c r="G119" i="52"/>
  <c r="E124" i="51"/>
  <c r="E123" i="51"/>
  <c r="G120" i="51"/>
  <c r="E120" i="51"/>
  <c r="G119" i="51"/>
  <c r="E124" i="40"/>
  <c r="E123" i="40"/>
  <c r="G120" i="40"/>
  <c r="E120" i="40"/>
  <c r="G119" i="40"/>
  <c r="E124" i="38"/>
  <c r="E123" i="38"/>
  <c r="G120" i="38"/>
  <c r="E120" i="38"/>
  <c r="G119" i="38"/>
  <c r="E124" i="36"/>
  <c r="E123" i="36"/>
  <c r="G120" i="36"/>
  <c r="E120" i="36"/>
  <c r="G119" i="36"/>
  <c r="E124" i="34"/>
  <c r="E123" i="34"/>
  <c r="G120" i="34"/>
  <c r="E120" i="34"/>
  <c r="G119" i="34"/>
  <c r="H115" i="54"/>
  <c r="G115" i="54"/>
  <c r="E115" i="54"/>
  <c r="H114" i="54"/>
  <c r="E114" i="54"/>
  <c r="H111" i="54"/>
  <c r="G111" i="54"/>
  <c r="G110" i="54"/>
  <c r="E110" i="54"/>
  <c r="H115" i="52"/>
  <c r="G115" i="52"/>
  <c r="E115" i="52"/>
  <c r="H114" i="52"/>
  <c r="E114" i="52"/>
  <c r="H111" i="52"/>
  <c r="G111" i="52"/>
  <c r="G110" i="52"/>
  <c r="E110" i="52"/>
  <c r="H115" i="51"/>
  <c r="G115" i="51"/>
  <c r="E115" i="51"/>
  <c r="H114" i="51"/>
  <c r="E114" i="51"/>
  <c r="H111" i="51"/>
  <c r="G111" i="51"/>
  <c r="G110" i="51"/>
  <c r="E110" i="51"/>
  <c r="H115" i="40"/>
  <c r="G115" i="40"/>
  <c r="E115" i="40"/>
  <c r="H114" i="40"/>
  <c r="E114" i="40"/>
  <c r="H111" i="40"/>
  <c r="G111" i="40"/>
  <c r="G110" i="40"/>
  <c r="E110" i="40"/>
  <c r="H115" i="38"/>
  <c r="G115" i="38"/>
  <c r="E115" i="38"/>
  <c r="H114" i="38"/>
  <c r="E114" i="38"/>
  <c r="H111" i="38"/>
  <c r="G111" i="38"/>
  <c r="G110" i="38"/>
  <c r="E110" i="38"/>
  <c r="H115" i="36"/>
  <c r="G115" i="36"/>
  <c r="E115" i="36"/>
  <c r="H114" i="36"/>
  <c r="E114" i="36"/>
  <c r="H111" i="36"/>
  <c r="G111" i="36"/>
  <c r="G110" i="36"/>
  <c r="E110" i="36"/>
  <c r="H115" i="34"/>
  <c r="G115" i="34"/>
  <c r="E115" i="34"/>
  <c r="H114" i="34"/>
  <c r="E114" i="34"/>
  <c r="H111" i="34"/>
  <c r="G111" i="34"/>
  <c r="G110" i="34"/>
  <c r="E110" i="34"/>
  <c r="H106" i="54"/>
  <c r="G106" i="54"/>
  <c r="E106" i="54"/>
  <c r="G105" i="54"/>
  <c r="G104" i="54"/>
  <c r="G103" i="54"/>
  <c r="G102" i="54"/>
  <c r="H106" i="52"/>
  <c r="G106" i="52"/>
  <c r="E106" i="52"/>
  <c r="G105" i="52"/>
  <c r="G104" i="52"/>
  <c r="G103" i="52"/>
  <c r="G102" i="52"/>
  <c r="H106" i="51"/>
  <c r="G106" i="51"/>
  <c r="E106" i="51"/>
  <c r="G105" i="51"/>
  <c r="G104" i="51"/>
  <c r="G103" i="51"/>
  <c r="G102" i="51"/>
  <c r="H106" i="40"/>
  <c r="G106" i="40"/>
  <c r="E106" i="40"/>
  <c r="G105" i="40"/>
  <c r="G104" i="40"/>
  <c r="G103" i="40"/>
  <c r="G102" i="40"/>
  <c r="H106" i="38"/>
  <c r="G106" i="38"/>
  <c r="E106" i="38"/>
  <c r="G105" i="38"/>
  <c r="G104" i="38"/>
  <c r="G103" i="38"/>
  <c r="G102" i="38"/>
  <c r="H106" i="36"/>
  <c r="G106" i="36"/>
  <c r="E106" i="36"/>
  <c r="G105" i="36"/>
  <c r="G104" i="36"/>
  <c r="G103" i="36"/>
  <c r="G102" i="36"/>
  <c r="H106" i="34"/>
  <c r="G106" i="34"/>
  <c r="E106" i="34"/>
  <c r="G105" i="34"/>
  <c r="G104" i="34"/>
  <c r="G103" i="34"/>
  <c r="G102" i="34"/>
  <c r="G99" i="54"/>
  <c r="H98" i="54"/>
  <c r="G98" i="54"/>
  <c r="E98" i="54"/>
  <c r="G97" i="54"/>
  <c r="G96" i="54"/>
  <c r="G95" i="54"/>
  <c r="G99" i="52"/>
  <c r="H98" i="52"/>
  <c r="G98" i="52"/>
  <c r="E98" i="52"/>
  <c r="G97" i="52"/>
  <c r="G96" i="52"/>
  <c r="G95" i="52"/>
  <c r="G99" i="51"/>
  <c r="H98" i="51"/>
  <c r="G98" i="51"/>
  <c r="E98" i="51"/>
  <c r="G97" i="51"/>
  <c r="G96" i="51"/>
  <c r="G95" i="51"/>
  <c r="G99" i="40"/>
  <c r="H98" i="40"/>
  <c r="G98" i="40"/>
  <c r="E98" i="40"/>
  <c r="G97" i="40"/>
  <c r="G96" i="40"/>
  <c r="G95" i="40"/>
  <c r="G99" i="38"/>
  <c r="H98" i="38"/>
  <c r="G98" i="38"/>
  <c r="E98" i="38"/>
  <c r="G97" i="38"/>
  <c r="G96" i="38"/>
  <c r="G95" i="38"/>
  <c r="G99" i="36"/>
  <c r="H98" i="36"/>
  <c r="G98" i="36"/>
  <c r="E98" i="36"/>
  <c r="G97" i="36"/>
  <c r="G96" i="36"/>
  <c r="G95" i="36"/>
  <c r="G99" i="34"/>
  <c r="H98" i="34"/>
  <c r="G98" i="34"/>
  <c r="E98" i="34"/>
  <c r="G97" i="34"/>
  <c r="G96" i="34"/>
  <c r="G95" i="34"/>
  <c r="G91" i="54"/>
  <c r="G90" i="54"/>
  <c r="G89" i="54"/>
  <c r="G88" i="54"/>
  <c r="G87" i="54"/>
  <c r="G86" i="54"/>
  <c r="G91" i="39"/>
  <c r="G90" i="39"/>
  <c r="G89" i="39"/>
  <c r="G88" i="39"/>
  <c r="G87" i="39"/>
  <c r="G86" i="39"/>
  <c r="G91" i="37"/>
  <c r="G90" i="37"/>
  <c r="G89" i="37"/>
  <c r="G88" i="37"/>
  <c r="G87" i="37"/>
  <c r="G86" i="37"/>
  <c r="G91" i="36"/>
  <c r="G90" i="36"/>
  <c r="G89" i="36"/>
  <c r="G88" i="36"/>
  <c r="G87" i="36"/>
  <c r="G86" i="36"/>
  <c r="G91" i="35"/>
  <c r="G90" i="35"/>
  <c r="G89" i="35"/>
  <c r="G88" i="35"/>
  <c r="G87" i="35"/>
  <c r="G86" i="35"/>
  <c r="G91" i="34"/>
  <c r="G90" i="34"/>
  <c r="G89" i="34"/>
  <c r="G88" i="34"/>
  <c r="G87" i="34"/>
  <c r="G86" i="34"/>
  <c r="G83" i="54"/>
  <c r="I81" i="54"/>
  <c r="G80" i="54"/>
  <c r="G83" i="53"/>
  <c r="I81" i="53"/>
  <c r="G80" i="53"/>
  <c r="G83" i="52"/>
  <c r="I81" i="52"/>
  <c r="G80" i="52"/>
  <c r="G83" i="50"/>
  <c r="I81" i="50"/>
  <c r="G80" i="50"/>
  <c r="G83" i="40"/>
  <c r="I81" i="40"/>
  <c r="G80" i="40"/>
  <c r="G83" i="39"/>
  <c r="I81" i="39"/>
  <c r="G80" i="39"/>
  <c r="G83" i="38"/>
  <c r="I81" i="38"/>
  <c r="G80" i="38"/>
  <c r="G83" i="37"/>
  <c r="I81" i="37"/>
  <c r="G80" i="37"/>
  <c r="G83" i="36"/>
  <c r="I81" i="36"/>
  <c r="G80" i="36"/>
  <c r="G83" i="35"/>
  <c r="I81" i="35"/>
  <c r="G80" i="35"/>
  <c r="G83" i="34"/>
  <c r="I81" i="34"/>
  <c r="G80" i="34"/>
  <c r="G76" i="54"/>
  <c r="E76" i="54"/>
  <c r="G75" i="54"/>
  <c r="E75" i="54"/>
  <c r="G74" i="54"/>
  <c r="G73" i="54"/>
  <c r="G72" i="54"/>
  <c r="E72" i="54"/>
  <c r="G76" i="53"/>
  <c r="E76" i="53"/>
  <c r="G75" i="53"/>
  <c r="E75" i="53"/>
  <c r="G74" i="53"/>
  <c r="G73" i="53"/>
  <c r="G72" i="53"/>
  <c r="E72" i="53"/>
  <c r="G76" i="52"/>
  <c r="E76" i="52"/>
  <c r="G75" i="52"/>
  <c r="E75" i="52"/>
  <c r="G74" i="52"/>
  <c r="G73" i="52"/>
  <c r="G72" i="52"/>
  <c r="E72" i="52"/>
  <c r="G76" i="39"/>
  <c r="E76" i="39"/>
  <c r="G75" i="39"/>
  <c r="E75" i="39"/>
  <c r="G74" i="39"/>
  <c r="G73" i="39"/>
  <c r="G72" i="39"/>
  <c r="E72" i="39"/>
  <c r="G76" i="37"/>
  <c r="E76" i="37"/>
  <c r="G75" i="37"/>
  <c r="E75" i="37"/>
  <c r="G74" i="37"/>
  <c r="G73" i="37"/>
  <c r="G72" i="37"/>
  <c r="E72" i="37"/>
  <c r="G76" i="36"/>
  <c r="E76" i="36"/>
  <c r="G75" i="36"/>
  <c r="E75" i="36"/>
  <c r="G74" i="36"/>
  <c r="G73" i="36"/>
  <c r="G72" i="36"/>
  <c r="E72" i="36"/>
  <c r="G76" i="35"/>
  <c r="E76" i="35"/>
  <c r="G75" i="35"/>
  <c r="E75" i="35"/>
  <c r="G74" i="35"/>
  <c r="G73" i="35"/>
  <c r="G72" i="35"/>
  <c r="E72" i="35"/>
  <c r="G76" i="34"/>
  <c r="E76" i="34"/>
  <c r="G75" i="34"/>
  <c r="E75" i="34"/>
  <c r="G74" i="34"/>
  <c r="G73" i="34"/>
  <c r="G72" i="34"/>
  <c r="E72" i="34"/>
  <c r="G68" i="54"/>
  <c r="G67" i="54"/>
  <c r="G66" i="54"/>
  <c r="G65" i="54"/>
  <c r="G64" i="54"/>
  <c r="G63" i="54"/>
  <c r="G68" i="53"/>
  <c r="G67" i="53"/>
  <c r="G66" i="53"/>
  <c r="G65" i="53"/>
  <c r="G64" i="53"/>
  <c r="G63" i="53"/>
  <c r="G68" i="52"/>
  <c r="G67" i="52"/>
  <c r="G66" i="52"/>
  <c r="G65" i="52"/>
  <c r="G64" i="52"/>
  <c r="G63" i="52"/>
  <c r="G68" i="50"/>
  <c r="G67" i="50"/>
  <c r="G66" i="50"/>
  <c r="G65" i="50"/>
  <c r="G64" i="50"/>
  <c r="G63" i="50"/>
  <c r="G68" i="39"/>
  <c r="G67" i="39"/>
  <c r="G66" i="39"/>
  <c r="G65" i="39"/>
  <c r="G64" i="39"/>
  <c r="G63" i="39"/>
  <c r="G68" i="37"/>
  <c r="G67" i="37"/>
  <c r="G66" i="37"/>
  <c r="G65" i="37"/>
  <c r="G64" i="37"/>
  <c r="G63" i="37"/>
  <c r="G68" i="36"/>
  <c r="G67" i="36"/>
  <c r="G66" i="36"/>
  <c r="G65" i="36"/>
  <c r="G64" i="36"/>
  <c r="G63" i="36"/>
  <c r="G68" i="35"/>
  <c r="G67" i="35"/>
  <c r="G66" i="35"/>
  <c r="G65" i="35"/>
  <c r="G64" i="35"/>
  <c r="G63" i="35"/>
  <c r="G68" i="34"/>
  <c r="G67" i="34"/>
  <c r="G66" i="34"/>
  <c r="G65" i="34"/>
  <c r="G64" i="34"/>
  <c r="G63" i="34"/>
  <c r="E61" i="54"/>
  <c r="E60" i="54"/>
  <c r="E59" i="54"/>
  <c r="E58" i="54"/>
  <c r="G57" i="54"/>
  <c r="E57" i="54"/>
  <c r="E61" i="53"/>
  <c r="E60" i="53"/>
  <c r="E59" i="53"/>
  <c r="E58" i="53"/>
  <c r="G57" i="53"/>
  <c r="E57" i="53"/>
  <c r="E61" i="52"/>
  <c r="E60" i="52"/>
  <c r="E59" i="52"/>
  <c r="E58" i="52"/>
  <c r="G57" i="52"/>
  <c r="E57" i="52"/>
  <c r="E61" i="50"/>
  <c r="E60" i="50"/>
  <c r="E59" i="50"/>
  <c r="E58" i="50"/>
  <c r="G57" i="50"/>
  <c r="E57" i="50"/>
  <c r="E61" i="39"/>
  <c r="E60" i="39"/>
  <c r="E59" i="39"/>
  <c r="E58" i="39"/>
  <c r="G57" i="39"/>
  <c r="E57" i="39"/>
  <c r="E61" i="37"/>
  <c r="E60" i="37"/>
  <c r="E59" i="37"/>
  <c r="E58" i="37"/>
  <c r="G57" i="37"/>
  <c r="E57" i="37"/>
  <c r="E61" i="36"/>
  <c r="E60" i="36"/>
  <c r="E59" i="36"/>
  <c r="E58" i="36"/>
  <c r="G57" i="36"/>
  <c r="E57" i="36"/>
  <c r="E61" i="35"/>
  <c r="E60" i="35"/>
  <c r="E59" i="35"/>
  <c r="E58" i="35"/>
  <c r="G57" i="35"/>
  <c r="E57" i="35"/>
  <c r="E61" i="34"/>
  <c r="E60" i="34"/>
  <c r="E59" i="34"/>
  <c r="E58" i="34"/>
  <c r="G57" i="34"/>
  <c r="E57" i="34"/>
  <c r="G52" i="54"/>
  <c r="G51" i="54"/>
  <c r="G50" i="54"/>
  <c r="G49" i="54"/>
  <c r="G48" i="54"/>
  <c r="G47" i="54"/>
  <c r="G52" i="53"/>
  <c r="G51" i="53"/>
  <c r="G50" i="53"/>
  <c r="G49" i="53"/>
  <c r="G48" i="53"/>
  <c r="G47" i="53"/>
  <c r="G52" i="52"/>
  <c r="G51" i="52"/>
  <c r="G50" i="52"/>
  <c r="G49" i="52"/>
  <c r="G48" i="52"/>
  <c r="G47" i="52"/>
  <c r="G52" i="51"/>
  <c r="G51" i="51"/>
  <c r="G50" i="51"/>
  <c r="G49" i="51"/>
  <c r="G48" i="51"/>
  <c r="G47" i="51"/>
  <c r="G52" i="40"/>
  <c r="G51" i="40"/>
  <c r="G50" i="40"/>
  <c r="G49" i="40"/>
  <c r="G48" i="40"/>
  <c r="G47" i="40"/>
  <c r="G52" i="38"/>
  <c r="G51" i="38"/>
  <c r="G50" i="38"/>
  <c r="G49" i="38"/>
  <c r="G48" i="38"/>
  <c r="G47" i="38"/>
  <c r="G52" i="36"/>
  <c r="G51" i="36"/>
  <c r="G50" i="36"/>
  <c r="G49" i="36"/>
  <c r="G48" i="36"/>
  <c r="G47" i="36"/>
  <c r="G52" i="35"/>
  <c r="G51" i="35"/>
  <c r="G50" i="35"/>
  <c r="G49" i="35"/>
  <c r="G48" i="35"/>
  <c r="G47" i="35"/>
  <c r="G52" i="34"/>
  <c r="G51" i="34"/>
  <c r="G50" i="34"/>
  <c r="G49" i="34"/>
  <c r="G48" i="34"/>
  <c r="G47" i="34"/>
  <c r="E45" i="54"/>
  <c r="E44" i="54"/>
  <c r="E43" i="54"/>
  <c r="E42" i="54"/>
  <c r="G41" i="54"/>
  <c r="E41" i="54"/>
  <c r="E45" i="53"/>
  <c r="E44" i="53"/>
  <c r="E43" i="53"/>
  <c r="E42" i="53"/>
  <c r="G41" i="53"/>
  <c r="E41" i="53"/>
  <c r="E45" i="52"/>
  <c r="E44" i="52"/>
  <c r="E43" i="52"/>
  <c r="E42" i="52"/>
  <c r="G41" i="52"/>
  <c r="E41" i="52"/>
  <c r="E45" i="51"/>
  <c r="E44" i="51"/>
  <c r="E43" i="51"/>
  <c r="E42" i="51"/>
  <c r="G41" i="51"/>
  <c r="E41" i="51"/>
  <c r="E45" i="40"/>
  <c r="E44" i="40"/>
  <c r="E43" i="40"/>
  <c r="E42" i="40"/>
  <c r="G41" i="40"/>
  <c r="E41" i="40"/>
  <c r="E45" i="38"/>
  <c r="E44" i="38"/>
  <c r="E43" i="38"/>
  <c r="E42" i="38"/>
  <c r="G41" i="38"/>
  <c r="E41" i="38"/>
  <c r="E45" i="36"/>
  <c r="E44" i="36"/>
  <c r="E43" i="36"/>
  <c r="E42" i="36"/>
  <c r="G41" i="36"/>
  <c r="E41" i="36"/>
  <c r="E45" i="35"/>
  <c r="E44" i="35"/>
  <c r="E43" i="35"/>
  <c r="E42" i="35"/>
  <c r="G41" i="35"/>
  <c r="E41" i="35"/>
  <c r="E45" i="34"/>
  <c r="E44" i="34"/>
  <c r="E43" i="34"/>
  <c r="E42" i="34"/>
  <c r="G41" i="34"/>
  <c r="E41" i="34"/>
  <c r="G27" i="54"/>
  <c r="E27" i="54"/>
  <c r="G26" i="54"/>
  <c r="E26" i="54"/>
  <c r="G25" i="54"/>
  <c r="G24" i="54"/>
  <c r="G23" i="54"/>
  <c r="E23" i="54"/>
  <c r="G36" i="54"/>
  <c r="G35" i="54"/>
  <c r="G34" i="54"/>
  <c r="G33" i="54"/>
  <c r="G32" i="54"/>
  <c r="G31" i="54"/>
  <c r="G36" i="53"/>
  <c r="G35" i="53"/>
  <c r="G34" i="53"/>
  <c r="G33" i="53"/>
  <c r="G32" i="53"/>
  <c r="G31" i="53"/>
  <c r="G36" i="52"/>
  <c r="G35" i="52"/>
  <c r="G34" i="52"/>
  <c r="G33" i="52"/>
  <c r="G32" i="52"/>
  <c r="G31" i="52"/>
  <c r="G36" i="50"/>
  <c r="G35" i="50"/>
  <c r="G34" i="50"/>
  <c r="G33" i="50"/>
  <c r="G32" i="50"/>
  <c r="G31" i="50"/>
  <c r="G36" i="39"/>
  <c r="G35" i="39"/>
  <c r="G34" i="39"/>
  <c r="G33" i="39"/>
  <c r="G32" i="39"/>
  <c r="G31" i="39"/>
  <c r="G36" i="37"/>
  <c r="G35" i="37"/>
  <c r="G34" i="37"/>
  <c r="G33" i="37"/>
  <c r="G32" i="37"/>
  <c r="G31" i="37"/>
  <c r="G36" i="36"/>
  <c r="G35" i="36"/>
  <c r="G34" i="36"/>
  <c r="G33" i="36"/>
  <c r="G32" i="36"/>
  <c r="G31" i="36"/>
  <c r="G36" i="35"/>
  <c r="G35" i="35"/>
  <c r="G34" i="35"/>
  <c r="G33" i="35"/>
  <c r="G32" i="35"/>
  <c r="G31" i="35"/>
  <c r="G36" i="34"/>
  <c r="G35" i="34"/>
  <c r="G34" i="34"/>
  <c r="G33" i="34"/>
  <c r="G32" i="34"/>
  <c r="G31" i="34"/>
  <c r="G27" i="53"/>
  <c r="E27" i="53"/>
  <c r="G26" i="53"/>
  <c r="E26" i="53"/>
  <c r="G25" i="53"/>
  <c r="G24" i="53"/>
  <c r="G23" i="53"/>
  <c r="E23" i="53"/>
  <c r="G27" i="52"/>
  <c r="E27" i="52"/>
  <c r="G26" i="52"/>
  <c r="E26" i="52"/>
  <c r="G25" i="52"/>
  <c r="G24" i="52"/>
  <c r="G23" i="52"/>
  <c r="E23" i="52"/>
  <c r="G27" i="50"/>
  <c r="E27" i="50"/>
  <c r="G26" i="50"/>
  <c r="E26" i="50"/>
  <c r="G25" i="50"/>
  <c r="G24" i="50"/>
  <c r="G23" i="50"/>
  <c r="E23" i="50"/>
  <c r="G27" i="39"/>
  <c r="E27" i="39"/>
  <c r="G26" i="39"/>
  <c r="E26" i="39"/>
  <c r="G25" i="39"/>
  <c r="G24" i="39"/>
  <c r="G23" i="39"/>
  <c r="E23" i="39"/>
  <c r="G27" i="37"/>
  <c r="E27" i="37"/>
  <c r="G26" i="37"/>
  <c r="E26" i="37"/>
  <c r="G25" i="37"/>
  <c r="G24" i="37"/>
  <c r="G23" i="37"/>
  <c r="E23" i="37"/>
  <c r="G27" i="36"/>
  <c r="E27" i="36"/>
  <c r="G26" i="36"/>
  <c r="E26" i="36"/>
  <c r="G25" i="36"/>
  <c r="G24" i="36"/>
  <c r="G23" i="36"/>
  <c r="E23" i="36"/>
  <c r="G27" i="35"/>
  <c r="E27" i="35"/>
  <c r="G26" i="35"/>
  <c r="E26" i="35"/>
  <c r="G25" i="35"/>
  <c r="G24" i="35"/>
  <c r="G23" i="35"/>
  <c r="E23" i="35"/>
  <c r="G27" i="34"/>
  <c r="E27" i="34"/>
  <c r="G26" i="34"/>
  <c r="E26" i="34"/>
  <c r="G25" i="34"/>
  <c r="G24" i="34"/>
  <c r="G23" i="34"/>
  <c r="E23" i="34"/>
  <c r="G19" i="54"/>
  <c r="G18" i="54"/>
  <c r="G17" i="54"/>
  <c r="G16" i="54"/>
  <c r="G15" i="54"/>
  <c r="G14" i="54"/>
  <c r="G19" i="53"/>
  <c r="G18" i="53"/>
  <c r="G17" i="53"/>
  <c r="G16" i="53"/>
  <c r="G15" i="53"/>
  <c r="G14" i="53"/>
  <c r="G19" i="52"/>
  <c r="G18" i="52"/>
  <c r="G17" i="52"/>
  <c r="G16" i="52"/>
  <c r="G15" i="52"/>
  <c r="G14" i="52"/>
  <c r="G19" i="51"/>
  <c r="G18" i="51"/>
  <c r="G17" i="51"/>
  <c r="G16" i="51"/>
  <c r="G15" i="51"/>
  <c r="G14" i="51"/>
  <c r="G19" i="40"/>
  <c r="G18" i="40"/>
  <c r="G17" i="40"/>
  <c r="G16" i="40"/>
  <c r="G15" i="40"/>
  <c r="G14" i="40"/>
  <c r="G19" i="38"/>
  <c r="G18" i="38"/>
  <c r="G17" i="38"/>
  <c r="G16" i="38"/>
  <c r="G15" i="38"/>
  <c r="G14" i="38"/>
  <c r="G19" i="36"/>
  <c r="G18" i="36"/>
  <c r="G17" i="36"/>
  <c r="G16" i="36"/>
  <c r="G15" i="36"/>
  <c r="G14" i="36"/>
  <c r="G19" i="35"/>
  <c r="G18" i="35"/>
  <c r="G17" i="35"/>
  <c r="G16" i="35"/>
  <c r="G15" i="35"/>
  <c r="G14" i="35"/>
  <c r="G19" i="34"/>
  <c r="G18" i="34"/>
  <c r="G17" i="34"/>
  <c r="G16" i="34"/>
  <c r="G15" i="34"/>
  <c r="G14" i="34"/>
  <c r="E11" i="54"/>
  <c r="E10" i="54"/>
  <c r="E9" i="54"/>
  <c r="E8" i="54"/>
  <c r="G7" i="54"/>
  <c r="E7" i="54"/>
  <c r="E11" i="53"/>
  <c r="E10" i="53"/>
  <c r="E9" i="53"/>
  <c r="E8" i="53"/>
  <c r="G7" i="53"/>
  <c r="E7" i="53"/>
  <c r="E11" i="52"/>
  <c r="E10" i="52"/>
  <c r="E9" i="52"/>
  <c r="E8" i="52"/>
  <c r="G7" i="52"/>
  <c r="E7" i="52"/>
  <c r="E11" i="51"/>
  <c r="E10" i="51"/>
  <c r="E9" i="51"/>
  <c r="E8" i="51"/>
  <c r="G7" i="51"/>
  <c r="E7" i="51"/>
  <c r="E11" i="40"/>
  <c r="E10" i="40"/>
  <c r="E9" i="40"/>
  <c r="E8" i="40"/>
  <c r="G7" i="40"/>
  <c r="E7" i="40"/>
  <c r="E11" i="38"/>
  <c r="E10" i="38"/>
  <c r="E9" i="38"/>
  <c r="E8" i="38"/>
  <c r="G7" i="38"/>
  <c r="E7" i="38"/>
  <c r="E11" i="36"/>
  <c r="E10" i="36"/>
  <c r="E9" i="36"/>
  <c r="E8" i="36"/>
  <c r="G7" i="36"/>
  <c r="E7" i="36"/>
  <c r="E11" i="35"/>
  <c r="E10" i="35"/>
  <c r="E9" i="35"/>
  <c r="E8" i="35"/>
  <c r="G7" i="35"/>
  <c r="E7" i="35"/>
  <c r="E11" i="34"/>
  <c r="E10" i="34"/>
  <c r="E9" i="34"/>
  <c r="E8" i="34"/>
  <c r="G7" i="34"/>
  <c r="E7" i="34"/>
  <c r="G143" i="33"/>
  <c r="G142" i="33"/>
  <c r="G141" i="33"/>
  <c r="G140" i="33"/>
  <c r="G139" i="33"/>
  <c r="G138" i="33"/>
  <c r="G135" i="33"/>
  <c r="G134" i="33"/>
  <c r="E124" i="33" l="1"/>
  <c r="E123" i="33"/>
  <c r="E120" i="33"/>
  <c r="H106" i="33"/>
  <c r="E106" i="33"/>
  <c r="E115" i="33"/>
  <c r="E114" i="33"/>
  <c r="E110" i="33"/>
  <c r="H98" i="33"/>
  <c r="E98" i="33"/>
  <c r="E96" i="9" l="1"/>
  <c r="G32" i="9" l="1"/>
  <c r="G33" i="9"/>
  <c r="G34" i="9"/>
  <c r="G35" i="9"/>
  <c r="G36" i="9"/>
  <c r="G37" i="9"/>
  <c r="G14" i="9"/>
  <c r="G15" i="9"/>
  <c r="G16" i="9"/>
  <c r="G17" i="9"/>
  <c r="G18" i="9"/>
  <c r="G19" i="9"/>
  <c r="G91" i="33" l="1"/>
  <c r="G90" i="33"/>
  <c r="G89" i="33"/>
  <c r="G88" i="33"/>
  <c r="G87" i="33"/>
  <c r="G86" i="33"/>
  <c r="G76" i="33"/>
  <c r="E76" i="33"/>
  <c r="G75" i="33"/>
  <c r="E75" i="33"/>
  <c r="G74" i="33"/>
  <c r="G73" i="33"/>
  <c r="G72" i="33"/>
  <c r="E72" i="33"/>
  <c r="G68" i="33"/>
  <c r="G67" i="33"/>
  <c r="G66" i="33"/>
  <c r="G65" i="33"/>
  <c r="G64" i="33"/>
  <c r="G63" i="33"/>
  <c r="E61" i="33"/>
  <c r="E60" i="33"/>
  <c r="E59" i="33"/>
  <c r="E58" i="33"/>
  <c r="E57" i="33"/>
  <c r="G52" i="33"/>
  <c r="G51" i="33"/>
  <c r="G50" i="33"/>
  <c r="G49" i="33"/>
  <c r="G48" i="33"/>
  <c r="G47" i="33"/>
  <c r="E45" i="33"/>
  <c r="E44" i="33"/>
  <c r="E43" i="33"/>
  <c r="E42" i="33"/>
  <c r="G41" i="33"/>
  <c r="E41" i="33"/>
  <c r="E27" i="33"/>
  <c r="E26" i="33"/>
  <c r="E23" i="33"/>
  <c r="E11" i="33"/>
  <c r="E10" i="33"/>
  <c r="E9" i="33"/>
  <c r="E8" i="33"/>
  <c r="E7" i="33"/>
  <c r="G36" i="33" l="1"/>
  <c r="G35" i="33"/>
  <c r="G34" i="33"/>
  <c r="G33" i="33"/>
  <c r="G32" i="33"/>
  <c r="G31" i="33"/>
  <c r="G27" i="33"/>
  <c r="G26" i="33"/>
  <c r="G25" i="33"/>
  <c r="G24" i="33"/>
  <c r="G19" i="33"/>
  <c r="G18" i="33"/>
  <c r="G57" i="33" l="1"/>
  <c r="G138" i="53" l="1"/>
  <c r="E138" i="53"/>
  <c r="I12" i="53" l="1"/>
  <c r="E121" i="53" l="1"/>
  <c r="E112" i="53"/>
  <c r="I175" i="50" l="1"/>
  <c r="I167" i="50"/>
  <c r="I158" i="50"/>
  <c r="I158" i="53"/>
  <c r="G157" i="53"/>
  <c r="E157" i="53"/>
  <c r="I154" i="53"/>
  <c r="G152" i="53"/>
  <c r="G151" i="53"/>
  <c r="G150" i="53"/>
  <c r="G149" i="53"/>
  <c r="G148" i="53"/>
  <c r="I143" i="54"/>
  <c r="I136" i="54"/>
  <c r="G133" i="54"/>
  <c r="G132" i="54"/>
  <c r="G131" i="54"/>
  <c r="G130" i="54"/>
  <c r="E130" i="54"/>
  <c r="G129" i="54"/>
  <c r="E129" i="54"/>
  <c r="G128" i="54"/>
  <c r="E128" i="54"/>
  <c r="I126" i="54"/>
  <c r="I117" i="54"/>
  <c r="I108" i="54"/>
  <c r="L101" i="54"/>
  <c r="I100" i="54"/>
  <c r="I93" i="54"/>
  <c r="L93" i="54" s="1"/>
  <c r="I84" i="54"/>
  <c r="I78" i="54"/>
  <c r="L78" i="54" s="1"/>
  <c r="I70" i="54"/>
  <c r="K70" i="54" s="1"/>
  <c r="J62" i="54"/>
  <c r="I54" i="54"/>
  <c r="K54" i="54" s="1"/>
  <c r="I38" i="54"/>
  <c r="K38" i="54" s="1"/>
  <c r="I29" i="54"/>
  <c r="K29" i="54" s="1"/>
  <c r="J28" i="54"/>
  <c r="J26" i="54"/>
  <c r="J24" i="54"/>
  <c r="I21" i="54"/>
  <c r="K21" i="54" s="1"/>
  <c r="J19" i="54"/>
  <c r="J18" i="54"/>
  <c r="J16" i="54"/>
  <c r="J15" i="54"/>
  <c r="J14" i="54"/>
  <c r="I12" i="54"/>
  <c r="K12" i="54" s="1"/>
  <c r="J10" i="54"/>
  <c r="J9" i="54"/>
  <c r="J8" i="54"/>
  <c r="J7" i="54"/>
  <c r="I136" i="53"/>
  <c r="G133" i="53"/>
  <c r="G132" i="53"/>
  <c r="G131" i="53"/>
  <c r="G130" i="53"/>
  <c r="E130" i="53"/>
  <c r="G129" i="53"/>
  <c r="E129" i="53"/>
  <c r="G128" i="53"/>
  <c r="E128" i="53"/>
  <c r="I126" i="53"/>
  <c r="G124" i="53"/>
  <c r="G123" i="53"/>
  <c r="G122" i="53"/>
  <c r="E122" i="53"/>
  <c r="G121" i="53"/>
  <c r="G120" i="53"/>
  <c r="E120" i="53"/>
  <c r="G119" i="53"/>
  <c r="E119" i="53"/>
  <c r="I117" i="53"/>
  <c r="H115" i="53"/>
  <c r="G115" i="53"/>
  <c r="E115" i="53"/>
  <c r="H114" i="53"/>
  <c r="E114" i="53"/>
  <c r="E113" i="53"/>
  <c r="H111" i="53"/>
  <c r="G111" i="53"/>
  <c r="E111" i="53"/>
  <c r="G110" i="53"/>
  <c r="E110" i="53"/>
  <c r="I108" i="53"/>
  <c r="G107" i="53"/>
  <c r="D107" i="53" s="1"/>
  <c r="E107" i="53"/>
  <c r="H106" i="53"/>
  <c r="G106" i="53"/>
  <c r="E106" i="53"/>
  <c r="H105" i="53"/>
  <c r="G105" i="53"/>
  <c r="G104" i="53"/>
  <c r="C104" i="53" s="1"/>
  <c r="E104" i="53"/>
  <c r="G103" i="53"/>
  <c r="E103" i="53"/>
  <c r="G102" i="53"/>
  <c r="C102" i="53" s="1"/>
  <c r="E102" i="53"/>
  <c r="L101" i="53"/>
  <c r="I100" i="53"/>
  <c r="H99" i="53"/>
  <c r="G99" i="53"/>
  <c r="E99" i="53"/>
  <c r="H98" i="53"/>
  <c r="G98" i="53"/>
  <c r="E98" i="53"/>
  <c r="G97" i="53"/>
  <c r="E97" i="53"/>
  <c r="G96" i="53"/>
  <c r="C96" i="53" s="1"/>
  <c r="E96" i="53"/>
  <c r="G95" i="53"/>
  <c r="C95" i="53" s="1"/>
  <c r="E95" i="53"/>
  <c r="I93" i="53"/>
  <c r="L93" i="53" s="1"/>
  <c r="G91" i="53"/>
  <c r="G90" i="53"/>
  <c r="G89" i="53"/>
  <c r="E89" i="53"/>
  <c r="G88" i="53"/>
  <c r="E88" i="53"/>
  <c r="G87" i="53"/>
  <c r="E87" i="53"/>
  <c r="G86" i="53"/>
  <c r="E86" i="53"/>
  <c r="I84" i="53"/>
  <c r="I78" i="53"/>
  <c r="L78" i="53" s="1"/>
  <c r="I70" i="53"/>
  <c r="K70" i="53" s="1"/>
  <c r="J62" i="53"/>
  <c r="I54" i="53"/>
  <c r="K54" i="53" s="1"/>
  <c r="I38" i="53"/>
  <c r="K38" i="53" s="1"/>
  <c r="I29" i="53"/>
  <c r="K29" i="53" s="1"/>
  <c r="J28" i="53"/>
  <c r="J26" i="53"/>
  <c r="J24" i="53"/>
  <c r="I21" i="53"/>
  <c r="K21" i="53" s="1"/>
  <c r="J19" i="53"/>
  <c r="J18" i="53"/>
  <c r="J16" i="53"/>
  <c r="J15" i="53"/>
  <c r="J14" i="53"/>
  <c r="K12" i="53"/>
  <c r="J10" i="53"/>
  <c r="J9" i="53"/>
  <c r="J8" i="53"/>
  <c r="J7" i="53"/>
  <c r="I143" i="52"/>
  <c r="I136" i="52"/>
  <c r="G133" i="52"/>
  <c r="G132" i="52"/>
  <c r="G131" i="52"/>
  <c r="G130" i="52"/>
  <c r="E130" i="52"/>
  <c r="G129" i="52"/>
  <c r="E129" i="52"/>
  <c r="G128" i="52"/>
  <c r="E128" i="52"/>
  <c r="I126" i="52"/>
  <c r="I117" i="52"/>
  <c r="I108" i="52"/>
  <c r="L101" i="52"/>
  <c r="I100" i="52"/>
  <c r="I93" i="52"/>
  <c r="L93" i="52" s="1"/>
  <c r="G91" i="52"/>
  <c r="G90" i="52"/>
  <c r="G89" i="52"/>
  <c r="E89" i="52"/>
  <c r="G88" i="52"/>
  <c r="E88" i="52"/>
  <c r="G87" i="52"/>
  <c r="E87" i="52"/>
  <c r="G86" i="52"/>
  <c r="E86" i="52"/>
  <c r="I84" i="52"/>
  <c r="I78" i="52"/>
  <c r="L78" i="52" s="1"/>
  <c r="I70" i="52"/>
  <c r="K70" i="52" s="1"/>
  <c r="J62" i="52"/>
  <c r="I54" i="52"/>
  <c r="K54" i="52" s="1"/>
  <c r="I38" i="52"/>
  <c r="K38" i="52" s="1"/>
  <c r="I29" i="52"/>
  <c r="K29" i="52" s="1"/>
  <c r="J28" i="52"/>
  <c r="J26" i="52"/>
  <c r="J24" i="52"/>
  <c r="I21" i="52"/>
  <c r="K21" i="52" s="1"/>
  <c r="J19" i="52"/>
  <c r="J18" i="52"/>
  <c r="J16" i="52"/>
  <c r="J15" i="52"/>
  <c r="J14" i="52"/>
  <c r="I12" i="52"/>
  <c r="K12" i="52" s="1"/>
  <c r="J10" i="52"/>
  <c r="J9" i="52"/>
  <c r="J8" i="52"/>
  <c r="J7" i="52"/>
  <c r="I136" i="51"/>
  <c r="G133" i="51"/>
  <c r="G132" i="51"/>
  <c r="G131" i="51"/>
  <c r="G130" i="51"/>
  <c r="E130" i="51"/>
  <c r="G129" i="51"/>
  <c r="E129" i="51"/>
  <c r="G128" i="51"/>
  <c r="E128" i="51"/>
  <c r="I126" i="51"/>
  <c r="I117" i="51"/>
  <c r="I108" i="51"/>
  <c r="L101" i="51"/>
  <c r="I100" i="51"/>
  <c r="I93" i="51"/>
  <c r="L93" i="51" s="1"/>
  <c r="G91" i="51"/>
  <c r="G90" i="51"/>
  <c r="G89" i="51"/>
  <c r="E89" i="51"/>
  <c r="G88" i="51"/>
  <c r="E88" i="51"/>
  <c r="G87" i="51"/>
  <c r="E87" i="51"/>
  <c r="G86" i="51"/>
  <c r="E86" i="51"/>
  <c r="I84" i="51"/>
  <c r="G83" i="51"/>
  <c r="E83" i="51"/>
  <c r="I81" i="51"/>
  <c r="G80" i="51"/>
  <c r="I78" i="51"/>
  <c r="L78" i="51" s="1"/>
  <c r="G76" i="51"/>
  <c r="G75" i="51"/>
  <c r="G74" i="51"/>
  <c r="E74" i="51"/>
  <c r="G73" i="51"/>
  <c r="E73" i="51"/>
  <c r="G72" i="51"/>
  <c r="E72" i="51"/>
  <c r="I70" i="51"/>
  <c r="K70" i="51" s="1"/>
  <c r="G68" i="51"/>
  <c r="G67" i="51"/>
  <c r="G66" i="51"/>
  <c r="E66" i="51"/>
  <c r="G65" i="51"/>
  <c r="E65" i="51"/>
  <c r="G64" i="51"/>
  <c r="E64" i="51"/>
  <c r="G63" i="51"/>
  <c r="E63" i="51"/>
  <c r="J62" i="51"/>
  <c r="G61" i="51"/>
  <c r="C61" i="51" s="1"/>
  <c r="E61" i="51"/>
  <c r="G60" i="51"/>
  <c r="C60" i="51" s="1"/>
  <c r="E60" i="51"/>
  <c r="G59" i="51"/>
  <c r="C59" i="51" s="1"/>
  <c r="E59" i="51"/>
  <c r="G58" i="51"/>
  <c r="E58" i="51"/>
  <c r="G57" i="51"/>
  <c r="C57" i="51" s="1"/>
  <c r="E57" i="51"/>
  <c r="I54" i="51"/>
  <c r="K54" i="51" s="1"/>
  <c r="I38" i="51"/>
  <c r="K38" i="51" s="1"/>
  <c r="G36" i="51"/>
  <c r="G35" i="51"/>
  <c r="G34" i="51"/>
  <c r="E34" i="51"/>
  <c r="G33" i="51"/>
  <c r="E33" i="51"/>
  <c r="G32" i="51"/>
  <c r="E32" i="51"/>
  <c r="G31" i="51"/>
  <c r="E31" i="51"/>
  <c r="I29" i="51"/>
  <c r="K29" i="51" s="1"/>
  <c r="J28" i="51"/>
  <c r="G27" i="51"/>
  <c r="J26" i="51"/>
  <c r="G26" i="51"/>
  <c r="G25" i="51"/>
  <c r="E25" i="51"/>
  <c r="J24" i="51"/>
  <c r="G24" i="51"/>
  <c r="E24" i="51"/>
  <c r="G23" i="51"/>
  <c r="E23" i="51"/>
  <c r="I21" i="51"/>
  <c r="K21" i="51" s="1"/>
  <c r="J19" i="51"/>
  <c r="J18" i="51"/>
  <c r="J16" i="51"/>
  <c r="J15" i="51"/>
  <c r="J14" i="51"/>
  <c r="I12" i="51"/>
  <c r="K12" i="51" s="1"/>
  <c r="J10" i="51"/>
  <c r="J9" i="51"/>
  <c r="J8" i="51"/>
  <c r="J7" i="51"/>
  <c r="I144" i="50"/>
  <c r="G141" i="50"/>
  <c r="G140" i="50"/>
  <c r="G139" i="50"/>
  <c r="G138" i="50"/>
  <c r="G137" i="50"/>
  <c r="A96" i="53" l="1"/>
  <c r="D96" i="53"/>
  <c r="A106" i="53"/>
  <c r="A61" i="51"/>
  <c r="A57" i="51"/>
  <c r="D59" i="51"/>
  <c r="B57" i="51"/>
  <c r="D57" i="51"/>
  <c r="B61" i="51"/>
  <c r="A59" i="51"/>
  <c r="D61" i="51"/>
  <c r="B96" i="53"/>
  <c r="C106" i="53"/>
  <c r="C99" i="53"/>
  <c r="A102" i="53"/>
  <c r="D102" i="53"/>
  <c r="B99" i="53"/>
  <c r="A104" i="53"/>
  <c r="B104" i="53"/>
  <c r="B106" i="53"/>
  <c r="B95" i="53"/>
  <c r="D106" i="53"/>
  <c r="A107" i="53"/>
  <c r="A99" i="53"/>
  <c r="D99" i="53"/>
  <c r="B102" i="53"/>
  <c r="D104" i="53"/>
  <c r="B107" i="53"/>
  <c r="K32" i="54"/>
  <c r="K32" i="53"/>
  <c r="D95" i="53"/>
  <c r="C107" i="53"/>
  <c r="A95" i="53"/>
  <c r="K32" i="52"/>
  <c r="B59" i="51"/>
  <c r="B60" i="51"/>
  <c r="K32" i="51"/>
  <c r="D60" i="51"/>
  <c r="A60" i="51"/>
  <c r="I151" i="50" l="1"/>
  <c r="I135" i="50"/>
  <c r="G132" i="50"/>
  <c r="G131" i="50"/>
  <c r="G130" i="50"/>
  <c r="G129" i="50"/>
  <c r="G128" i="50"/>
  <c r="I126" i="50"/>
  <c r="G124" i="50"/>
  <c r="G123" i="50"/>
  <c r="G122" i="50"/>
  <c r="E122" i="50"/>
  <c r="G121" i="50"/>
  <c r="E121" i="50"/>
  <c r="G120" i="50"/>
  <c r="E120" i="50"/>
  <c r="G119" i="50"/>
  <c r="E119" i="50"/>
  <c r="I117" i="50"/>
  <c r="H115" i="50"/>
  <c r="G115" i="50"/>
  <c r="E115" i="50"/>
  <c r="H114" i="50"/>
  <c r="E114" i="50"/>
  <c r="E113" i="50"/>
  <c r="E112" i="50"/>
  <c r="H111" i="50"/>
  <c r="G111" i="50"/>
  <c r="E111" i="50"/>
  <c r="G110" i="50"/>
  <c r="E110" i="50"/>
  <c r="I108" i="50"/>
  <c r="G107" i="50"/>
  <c r="A107" i="50" s="1"/>
  <c r="E107" i="50"/>
  <c r="H106" i="50"/>
  <c r="G106" i="50"/>
  <c r="E106" i="50"/>
  <c r="H105" i="50"/>
  <c r="G105" i="50"/>
  <c r="G104" i="50"/>
  <c r="C104" i="50" s="1"/>
  <c r="E104" i="50"/>
  <c r="G103" i="50"/>
  <c r="E103" i="50"/>
  <c r="G102" i="50"/>
  <c r="C102" i="50" s="1"/>
  <c r="E102" i="50"/>
  <c r="L101" i="50"/>
  <c r="I100" i="50"/>
  <c r="H99" i="50"/>
  <c r="G99" i="50"/>
  <c r="E99" i="50"/>
  <c r="H98" i="50"/>
  <c r="G98" i="50"/>
  <c r="E98" i="50"/>
  <c r="G97" i="50"/>
  <c r="E97" i="50"/>
  <c r="G96" i="50"/>
  <c r="C96" i="50" s="1"/>
  <c r="E96" i="50"/>
  <c r="G95" i="50"/>
  <c r="C95" i="50" s="1"/>
  <c r="E95" i="50"/>
  <c r="I93" i="50"/>
  <c r="L93" i="50" s="1"/>
  <c r="G91" i="50"/>
  <c r="G90" i="50"/>
  <c r="G89" i="50"/>
  <c r="E89" i="50"/>
  <c r="G88" i="50"/>
  <c r="E88" i="50"/>
  <c r="G87" i="50"/>
  <c r="E87" i="50"/>
  <c r="G86" i="50"/>
  <c r="E86" i="50"/>
  <c r="I84" i="50"/>
  <c r="I78" i="50"/>
  <c r="L78" i="50" s="1"/>
  <c r="G76" i="50"/>
  <c r="G75" i="50"/>
  <c r="G74" i="50"/>
  <c r="E74" i="50"/>
  <c r="G73" i="50"/>
  <c r="E73" i="50"/>
  <c r="G72" i="50"/>
  <c r="E72" i="50"/>
  <c r="I70" i="50"/>
  <c r="K70" i="50" s="1"/>
  <c r="J62" i="50"/>
  <c r="I54" i="50"/>
  <c r="K54" i="50" s="1"/>
  <c r="G52" i="50"/>
  <c r="G51" i="50"/>
  <c r="G50" i="50"/>
  <c r="E50" i="50"/>
  <c r="G49" i="50"/>
  <c r="E49" i="50"/>
  <c r="G48" i="50"/>
  <c r="E48" i="50"/>
  <c r="G47" i="50"/>
  <c r="E47" i="50"/>
  <c r="G45" i="50"/>
  <c r="C45" i="50" s="1"/>
  <c r="E45" i="50"/>
  <c r="G44" i="50"/>
  <c r="C44" i="50" s="1"/>
  <c r="E44" i="50"/>
  <c r="G43" i="50"/>
  <c r="C43" i="50" s="1"/>
  <c r="E43" i="50"/>
  <c r="G42" i="50"/>
  <c r="E42" i="50"/>
  <c r="G41" i="50"/>
  <c r="C41" i="50" s="1"/>
  <c r="E41" i="50"/>
  <c r="I38" i="50"/>
  <c r="K38" i="50" s="1"/>
  <c r="I29" i="50"/>
  <c r="K29" i="50" s="1"/>
  <c r="J28" i="50"/>
  <c r="J26" i="50"/>
  <c r="J24" i="50"/>
  <c r="I21" i="50"/>
  <c r="K21" i="50" s="1"/>
  <c r="J19" i="50"/>
  <c r="G19" i="50"/>
  <c r="J18" i="50"/>
  <c r="G18" i="50"/>
  <c r="G17" i="50"/>
  <c r="E17" i="50"/>
  <c r="J16" i="50"/>
  <c r="G16" i="50"/>
  <c r="E16" i="50"/>
  <c r="J15" i="50"/>
  <c r="G15" i="50"/>
  <c r="E15" i="50"/>
  <c r="J14" i="50"/>
  <c r="G14" i="50"/>
  <c r="E14" i="50"/>
  <c r="I12" i="50"/>
  <c r="K12" i="50" s="1"/>
  <c r="G11" i="50"/>
  <c r="D11" i="50" s="1"/>
  <c r="E11" i="50"/>
  <c r="J10" i="50"/>
  <c r="G10" i="50"/>
  <c r="C10" i="50" s="1"/>
  <c r="E10" i="50"/>
  <c r="J9" i="50"/>
  <c r="G9" i="50"/>
  <c r="C9" i="50" s="1"/>
  <c r="E9" i="50"/>
  <c r="J8" i="50"/>
  <c r="G8" i="50"/>
  <c r="E8" i="50"/>
  <c r="J7" i="50"/>
  <c r="G7" i="50"/>
  <c r="D7" i="50" s="1"/>
  <c r="E7" i="50"/>
  <c r="G162" i="39"/>
  <c r="G133" i="34"/>
  <c r="G132" i="34"/>
  <c r="G131" i="34"/>
  <c r="G130" i="34"/>
  <c r="G129" i="34"/>
  <c r="G128" i="34"/>
  <c r="G129" i="33"/>
  <c r="D9" i="50" l="1"/>
  <c r="A10" i="50"/>
  <c r="D96" i="50"/>
  <c r="C99" i="50"/>
  <c r="A102" i="50"/>
  <c r="A106" i="50"/>
  <c r="D102" i="50"/>
  <c r="B45" i="50"/>
  <c r="B99" i="50"/>
  <c r="A44" i="50"/>
  <c r="B43" i="50"/>
  <c r="B44" i="50"/>
  <c r="A9" i="50"/>
  <c r="D44" i="50"/>
  <c r="A99" i="50"/>
  <c r="D99" i="50"/>
  <c r="B102" i="50"/>
  <c r="C106" i="50"/>
  <c r="A104" i="50"/>
  <c r="A96" i="50"/>
  <c r="D104" i="50"/>
  <c r="B9" i="50"/>
  <c r="A7" i="50"/>
  <c r="B10" i="50"/>
  <c r="B7" i="50"/>
  <c r="D10" i="50"/>
  <c r="A11" i="50"/>
  <c r="B11" i="50"/>
  <c r="B41" i="50"/>
  <c r="B106" i="50"/>
  <c r="B95" i="50"/>
  <c r="B96" i="50"/>
  <c r="B104" i="50"/>
  <c r="D106" i="50"/>
  <c r="B107" i="50"/>
  <c r="K32" i="50"/>
  <c r="D41" i="50"/>
  <c r="D95" i="50"/>
  <c r="C107" i="50"/>
  <c r="C7" i="50"/>
  <c r="C11" i="50"/>
  <c r="D43" i="50"/>
  <c r="D45" i="50"/>
  <c r="A41" i="50"/>
  <c r="A43" i="50"/>
  <c r="A45" i="50"/>
  <c r="A95" i="50"/>
  <c r="D107" i="50"/>
  <c r="G167" i="37"/>
  <c r="G166" i="37"/>
  <c r="G165" i="37"/>
  <c r="G164" i="37"/>
  <c r="G163" i="37"/>
  <c r="G162" i="37"/>
  <c r="I160" i="37"/>
  <c r="G158" i="37"/>
  <c r="G157" i="37"/>
  <c r="G156" i="37"/>
  <c r="G155" i="37"/>
  <c r="G154" i="37"/>
  <c r="I142" i="39"/>
  <c r="E144" i="1"/>
  <c r="G137" i="45" l="1"/>
  <c r="E137" i="45"/>
  <c r="E138" i="45"/>
  <c r="G138" i="45"/>
  <c r="E139" i="45"/>
  <c r="G139" i="45"/>
  <c r="E140" i="45"/>
  <c r="G140" i="45"/>
  <c r="G141" i="45"/>
  <c r="G142" i="45"/>
  <c r="I149" i="9" l="1"/>
  <c r="G148" i="9"/>
  <c r="G147" i="9"/>
  <c r="G146" i="9"/>
  <c r="G145" i="9"/>
  <c r="G144" i="9"/>
  <c r="E129" i="9"/>
  <c r="G122" i="9"/>
  <c r="C122" i="9" s="1"/>
  <c r="E122" i="9"/>
  <c r="G121" i="9"/>
  <c r="D121" i="9" s="1"/>
  <c r="E121" i="9"/>
  <c r="G120" i="9"/>
  <c r="D120" i="9" s="1"/>
  <c r="E120" i="9"/>
  <c r="G119" i="9"/>
  <c r="E119" i="9"/>
  <c r="G118" i="9"/>
  <c r="D118" i="9" s="1"/>
  <c r="E118" i="9"/>
  <c r="G106" i="9"/>
  <c r="G105" i="9"/>
  <c r="G104" i="9"/>
  <c r="G103" i="9"/>
  <c r="G102" i="9"/>
  <c r="G101" i="9"/>
  <c r="G98" i="9"/>
  <c r="H97" i="9"/>
  <c r="G97" i="9"/>
  <c r="H96" i="9"/>
  <c r="G96" i="9"/>
  <c r="G95" i="9"/>
  <c r="G94" i="9"/>
  <c r="G93" i="9"/>
  <c r="G77" i="9"/>
  <c r="G76" i="9"/>
  <c r="G75" i="9"/>
  <c r="G74" i="9"/>
  <c r="G73" i="9"/>
  <c r="G72" i="9"/>
  <c r="G67" i="9"/>
  <c r="G66" i="9"/>
  <c r="G65" i="9"/>
  <c r="G64" i="9"/>
  <c r="G63" i="9"/>
  <c r="G56" i="9"/>
  <c r="G55" i="9"/>
  <c r="G54" i="9"/>
  <c r="G53" i="9"/>
  <c r="G52" i="9"/>
  <c r="G51" i="9"/>
  <c r="G46" i="9"/>
  <c r="G45" i="9"/>
  <c r="G44" i="9"/>
  <c r="G43" i="9"/>
  <c r="G42" i="9"/>
  <c r="G27" i="9"/>
  <c r="G26" i="9"/>
  <c r="G25" i="9"/>
  <c r="G24" i="9"/>
  <c r="G23" i="9"/>
  <c r="G11" i="9"/>
  <c r="G10" i="9"/>
  <c r="G9" i="9"/>
  <c r="G8" i="9"/>
  <c r="G7" i="9"/>
  <c r="E128" i="45"/>
  <c r="E128" i="44"/>
  <c r="E119" i="35"/>
  <c r="E119" i="37"/>
  <c r="E119" i="39"/>
  <c r="E119" i="44"/>
  <c r="E119" i="45"/>
  <c r="E119" i="46"/>
  <c r="E110" i="35"/>
  <c r="E110" i="37"/>
  <c r="E110" i="39"/>
  <c r="E110" i="44"/>
  <c r="E110" i="45"/>
  <c r="E110" i="46"/>
  <c r="E86" i="38"/>
  <c r="E86" i="40"/>
  <c r="E86" i="44"/>
  <c r="E86" i="45"/>
  <c r="E86" i="46"/>
  <c r="E72" i="38"/>
  <c r="E72" i="40"/>
  <c r="E72" i="44"/>
  <c r="E72" i="45"/>
  <c r="E72" i="46"/>
  <c r="E63" i="38"/>
  <c r="E63" i="40"/>
  <c r="E63" i="44"/>
  <c r="E63" i="45"/>
  <c r="E63" i="46"/>
  <c r="E47" i="37"/>
  <c r="E47" i="39"/>
  <c r="E47" i="44"/>
  <c r="E47" i="45"/>
  <c r="E47" i="46"/>
  <c r="E31" i="38"/>
  <c r="E31" i="40"/>
  <c r="E31" i="44"/>
  <c r="E31" i="45"/>
  <c r="E31" i="46"/>
  <c r="E23" i="38"/>
  <c r="E23" i="40"/>
  <c r="E23" i="44"/>
  <c r="E23" i="45"/>
  <c r="E23" i="46"/>
  <c r="E14" i="37"/>
  <c r="E14" i="39"/>
  <c r="E14" i="44"/>
  <c r="E14" i="45"/>
  <c r="E14" i="46"/>
  <c r="E72" i="1"/>
  <c r="E86" i="1"/>
  <c r="E63" i="1"/>
  <c r="E147" i="1"/>
  <c r="E119" i="1"/>
  <c r="E110" i="1"/>
  <c r="E47" i="1"/>
  <c r="E31" i="1"/>
  <c r="E23" i="1"/>
  <c r="E14" i="1"/>
  <c r="G14" i="1"/>
  <c r="J14" i="1"/>
  <c r="C120" i="9" l="1"/>
  <c r="A118" i="9"/>
  <c r="A120" i="9"/>
  <c r="B120" i="9"/>
  <c r="A121" i="9"/>
  <c r="B122" i="9"/>
  <c r="A122" i="9"/>
  <c r="D122" i="9"/>
  <c r="C121" i="9"/>
  <c r="B121" i="9"/>
  <c r="B118" i="9"/>
  <c r="C118" i="9"/>
  <c r="I152" i="45" l="1"/>
  <c r="G151" i="45"/>
  <c r="G150" i="45"/>
  <c r="G149" i="45"/>
  <c r="E149" i="45"/>
  <c r="G148" i="45"/>
  <c r="E148" i="45"/>
  <c r="G147" i="45"/>
  <c r="E147" i="45"/>
  <c r="I142" i="44"/>
  <c r="G141" i="44"/>
  <c r="G140" i="44"/>
  <c r="G139" i="44"/>
  <c r="E139" i="44"/>
  <c r="G138" i="44"/>
  <c r="E138" i="44"/>
  <c r="G137" i="44"/>
  <c r="E137" i="44"/>
  <c r="I146" i="38"/>
  <c r="I137" i="36"/>
  <c r="I145" i="35"/>
  <c r="I143" i="34"/>
  <c r="I152" i="33"/>
  <c r="G153" i="1"/>
  <c r="G152" i="1"/>
  <c r="G151" i="1"/>
  <c r="G150" i="1"/>
  <c r="E150" i="1"/>
  <c r="G149" i="1"/>
  <c r="E149" i="1"/>
  <c r="G148" i="1"/>
  <c r="E148" i="1"/>
  <c r="G147" i="1"/>
  <c r="I144" i="46" l="1"/>
  <c r="G142" i="46"/>
  <c r="G141" i="46"/>
  <c r="G140" i="46"/>
  <c r="E140" i="46"/>
  <c r="G139" i="46"/>
  <c r="E139" i="46"/>
  <c r="G138" i="46"/>
  <c r="E138" i="46"/>
  <c r="E87" i="46" l="1"/>
  <c r="E64" i="46"/>
  <c r="E87" i="45"/>
  <c r="E64" i="45"/>
  <c r="E87" i="44"/>
  <c r="E64" i="44"/>
  <c r="E32" i="44"/>
  <c r="E32" i="46"/>
  <c r="E64" i="1"/>
  <c r="E32" i="1"/>
  <c r="E87" i="1"/>
  <c r="E111" i="1"/>
  <c r="E125" i="9" l="1"/>
  <c r="G133" i="45" l="1"/>
  <c r="G132" i="45"/>
  <c r="G131" i="45"/>
  <c r="E131" i="45"/>
  <c r="G130" i="45"/>
  <c r="E130" i="45"/>
  <c r="G129" i="45"/>
  <c r="E129" i="45"/>
  <c r="G128" i="45"/>
  <c r="G133" i="44"/>
  <c r="G132" i="44"/>
  <c r="G131" i="44"/>
  <c r="E131" i="44"/>
  <c r="G130" i="44"/>
  <c r="E130" i="44"/>
  <c r="G129" i="44"/>
  <c r="E129" i="44"/>
  <c r="G128" i="44"/>
  <c r="G124" i="35"/>
  <c r="G123" i="35"/>
  <c r="G122" i="35"/>
  <c r="E122" i="35"/>
  <c r="G121" i="35"/>
  <c r="E121" i="35"/>
  <c r="G120" i="35"/>
  <c r="E120" i="35"/>
  <c r="G119" i="35"/>
  <c r="G124" i="37"/>
  <c r="G123" i="37"/>
  <c r="G122" i="37"/>
  <c r="E122" i="37"/>
  <c r="G121" i="37"/>
  <c r="E121" i="37"/>
  <c r="G120" i="37"/>
  <c r="E120" i="37"/>
  <c r="G119" i="37"/>
  <c r="G124" i="39"/>
  <c r="G123" i="39"/>
  <c r="G122" i="39"/>
  <c r="E122" i="39"/>
  <c r="G121" i="39"/>
  <c r="E121" i="39"/>
  <c r="G120" i="39"/>
  <c r="E120" i="39"/>
  <c r="G119" i="39"/>
  <c r="G124" i="44"/>
  <c r="G123" i="44"/>
  <c r="G122" i="44"/>
  <c r="E122" i="44"/>
  <c r="G121" i="44"/>
  <c r="E121" i="44"/>
  <c r="G120" i="44"/>
  <c r="E120" i="44"/>
  <c r="G119" i="44"/>
  <c r="G124" i="45"/>
  <c r="G123" i="45"/>
  <c r="G122" i="45"/>
  <c r="E122" i="45"/>
  <c r="G121" i="45"/>
  <c r="E121" i="45"/>
  <c r="G120" i="45"/>
  <c r="E120" i="45"/>
  <c r="G119" i="45"/>
  <c r="G124" i="46"/>
  <c r="G123" i="46"/>
  <c r="G122" i="46"/>
  <c r="E122" i="46"/>
  <c r="G121" i="46"/>
  <c r="E121" i="46"/>
  <c r="G120" i="46"/>
  <c r="E120" i="46"/>
  <c r="G119" i="46"/>
  <c r="G120" i="33"/>
  <c r="G119" i="33"/>
  <c r="H115" i="35"/>
  <c r="G115" i="35"/>
  <c r="E115" i="35"/>
  <c r="H114" i="35"/>
  <c r="E114" i="35"/>
  <c r="E113" i="35"/>
  <c r="E112" i="35"/>
  <c r="H111" i="35"/>
  <c r="G111" i="35"/>
  <c r="E111" i="35"/>
  <c r="G110" i="35"/>
  <c r="H115" i="37"/>
  <c r="G115" i="37"/>
  <c r="E115" i="37"/>
  <c r="H114" i="37"/>
  <c r="E114" i="37"/>
  <c r="E113" i="37"/>
  <c r="E112" i="37"/>
  <c r="H111" i="37"/>
  <c r="G111" i="37"/>
  <c r="E111" i="37"/>
  <c r="G110" i="37"/>
  <c r="H115" i="39"/>
  <c r="G115" i="39"/>
  <c r="E115" i="39"/>
  <c r="H114" i="39"/>
  <c r="E114" i="39"/>
  <c r="E113" i="39"/>
  <c r="E112" i="39"/>
  <c r="H111" i="39"/>
  <c r="G111" i="39"/>
  <c r="E111" i="39"/>
  <c r="G110" i="39"/>
  <c r="H115" i="44"/>
  <c r="G115" i="44"/>
  <c r="E115" i="44"/>
  <c r="H114" i="44"/>
  <c r="E114" i="44"/>
  <c r="E113" i="44"/>
  <c r="E112" i="44"/>
  <c r="H111" i="44"/>
  <c r="G111" i="44"/>
  <c r="E111" i="44"/>
  <c r="G110" i="44"/>
  <c r="H115" i="45"/>
  <c r="G115" i="45"/>
  <c r="E115" i="45"/>
  <c r="H114" i="45"/>
  <c r="E114" i="45"/>
  <c r="E113" i="45"/>
  <c r="E112" i="45"/>
  <c r="H111" i="45"/>
  <c r="G111" i="45"/>
  <c r="E111" i="45"/>
  <c r="G110" i="45"/>
  <c r="H115" i="46"/>
  <c r="G115" i="46"/>
  <c r="E115" i="46"/>
  <c r="H114" i="46"/>
  <c r="E114" i="46"/>
  <c r="E113" i="46"/>
  <c r="E112" i="46"/>
  <c r="H111" i="46"/>
  <c r="G111" i="46"/>
  <c r="E111" i="46"/>
  <c r="G110" i="46"/>
  <c r="H115" i="33"/>
  <c r="G115" i="33"/>
  <c r="H114" i="33"/>
  <c r="H111" i="33"/>
  <c r="G111" i="33"/>
  <c r="G110" i="33"/>
  <c r="G107" i="35"/>
  <c r="C107" i="35" s="1"/>
  <c r="E107" i="35"/>
  <c r="H106" i="35"/>
  <c r="G106" i="35"/>
  <c r="D106" i="35" s="1"/>
  <c r="E106" i="35"/>
  <c r="H105" i="35"/>
  <c r="G105" i="35"/>
  <c r="G104" i="35"/>
  <c r="A104" i="35" s="1"/>
  <c r="E104" i="35"/>
  <c r="G103" i="35"/>
  <c r="E103" i="35"/>
  <c r="G102" i="35"/>
  <c r="A102" i="35" s="1"/>
  <c r="E102" i="35"/>
  <c r="G107" i="37"/>
  <c r="A107" i="37" s="1"/>
  <c r="E107" i="37"/>
  <c r="H106" i="37"/>
  <c r="G106" i="37"/>
  <c r="C106" i="37" s="1"/>
  <c r="E106" i="37"/>
  <c r="H105" i="37"/>
  <c r="G105" i="37"/>
  <c r="G104" i="37"/>
  <c r="D104" i="37" s="1"/>
  <c r="E104" i="37"/>
  <c r="G103" i="37"/>
  <c r="E103" i="37"/>
  <c r="G102" i="37"/>
  <c r="D102" i="37" s="1"/>
  <c r="E102" i="37"/>
  <c r="G107" i="39"/>
  <c r="D107" i="39" s="1"/>
  <c r="E107" i="39"/>
  <c r="H106" i="39"/>
  <c r="G106" i="39"/>
  <c r="C106" i="39" s="1"/>
  <c r="E106" i="39"/>
  <c r="H105" i="39"/>
  <c r="G105" i="39"/>
  <c r="G104" i="39"/>
  <c r="A104" i="39" s="1"/>
  <c r="E104" i="39"/>
  <c r="G103" i="39"/>
  <c r="E103" i="39"/>
  <c r="G102" i="39"/>
  <c r="A102" i="39" s="1"/>
  <c r="E102" i="39"/>
  <c r="G107" i="44"/>
  <c r="D107" i="44" s="1"/>
  <c r="E107" i="44"/>
  <c r="H106" i="44"/>
  <c r="G106" i="44"/>
  <c r="C106" i="44" s="1"/>
  <c r="E106" i="44"/>
  <c r="H105" i="44"/>
  <c r="G105" i="44"/>
  <c r="G104" i="44"/>
  <c r="C104" i="44" s="1"/>
  <c r="E104" i="44"/>
  <c r="G103" i="44"/>
  <c r="E103" i="44"/>
  <c r="G102" i="44"/>
  <c r="C102" i="44" s="1"/>
  <c r="E102" i="44"/>
  <c r="G107" i="45"/>
  <c r="A107" i="45" s="1"/>
  <c r="E107" i="45"/>
  <c r="H106" i="45"/>
  <c r="G106" i="45"/>
  <c r="A106" i="45" s="1"/>
  <c r="E106" i="45"/>
  <c r="H105" i="45"/>
  <c r="G105" i="45"/>
  <c r="G104" i="45"/>
  <c r="D104" i="45" s="1"/>
  <c r="E104" i="45"/>
  <c r="G103" i="45"/>
  <c r="E103" i="45"/>
  <c r="G102" i="45"/>
  <c r="D102" i="45" s="1"/>
  <c r="E102" i="45"/>
  <c r="G107" i="46"/>
  <c r="D107" i="46" s="1"/>
  <c r="E107" i="46"/>
  <c r="H106" i="46"/>
  <c r="G106" i="46"/>
  <c r="C106" i="46" s="1"/>
  <c r="E106" i="46"/>
  <c r="H105" i="46"/>
  <c r="G105" i="46"/>
  <c r="G104" i="46"/>
  <c r="A104" i="46" s="1"/>
  <c r="E104" i="46"/>
  <c r="G103" i="46"/>
  <c r="E103" i="46"/>
  <c r="G102" i="46"/>
  <c r="A102" i="46" s="1"/>
  <c r="E102" i="46"/>
  <c r="G106" i="33"/>
  <c r="G105" i="33"/>
  <c r="G104" i="33"/>
  <c r="G103" i="33"/>
  <c r="G102" i="33"/>
  <c r="H99" i="35"/>
  <c r="G99" i="35"/>
  <c r="C99" i="35" s="1"/>
  <c r="E99" i="35"/>
  <c r="H98" i="35"/>
  <c r="G98" i="35"/>
  <c r="E98" i="35"/>
  <c r="G97" i="35"/>
  <c r="E97" i="35"/>
  <c r="G96" i="35"/>
  <c r="A96" i="35" s="1"/>
  <c r="E96" i="35"/>
  <c r="G95" i="35"/>
  <c r="D95" i="35" s="1"/>
  <c r="E95" i="35"/>
  <c r="H99" i="37"/>
  <c r="G99" i="37"/>
  <c r="C99" i="37" s="1"/>
  <c r="E99" i="37"/>
  <c r="H98" i="37"/>
  <c r="G98" i="37"/>
  <c r="E98" i="37"/>
  <c r="G97" i="37"/>
  <c r="E97" i="37"/>
  <c r="G96" i="37"/>
  <c r="A96" i="37" s="1"/>
  <c r="E96" i="37"/>
  <c r="G95" i="37"/>
  <c r="D95" i="37" s="1"/>
  <c r="E95" i="37"/>
  <c r="H99" i="39"/>
  <c r="G99" i="39"/>
  <c r="C99" i="39" s="1"/>
  <c r="E99" i="39"/>
  <c r="H98" i="39"/>
  <c r="G98" i="39"/>
  <c r="E98" i="39"/>
  <c r="G97" i="39"/>
  <c r="E97" i="39"/>
  <c r="G96" i="39"/>
  <c r="C96" i="39" s="1"/>
  <c r="E96" i="39"/>
  <c r="G95" i="39"/>
  <c r="D95" i="39" s="1"/>
  <c r="E95" i="39"/>
  <c r="H99" i="44"/>
  <c r="G99" i="44"/>
  <c r="E99" i="44"/>
  <c r="H98" i="44"/>
  <c r="G98" i="44"/>
  <c r="E98" i="44"/>
  <c r="G97" i="44"/>
  <c r="E97" i="44"/>
  <c r="G96" i="44"/>
  <c r="D96" i="44" s="1"/>
  <c r="E96" i="44"/>
  <c r="G95" i="44"/>
  <c r="D95" i="44" s="1"/>
  <c r="E95" i="44"/>
  <c r="H99" i="45"/>
  <c r="G99" i="45"/>
  <c r="E99" i="45"/>
  <c r="H98" i="45"/>
  <c r="G98" i="45"/>
  <c r="E98" i="45"/>
  <c r="G97" i="45"/>
  <c r="E97" i="45"/>
  <c r="G96" i="45"/>
  <c r="C96" i="45" s="1"/>
  <c r="E96" i="45"/>
  <c r="G95" i="45"/>
  <c r="D95" i="45" s="1"/>
  <c r="E95" i="45"/>
  <c r="H99" i="46"/>
  <c r="G99" i="46"/>
  <c r="E99" i="46"/>
  <c r="H98" i="46"/>
  <c r="G98" i="46"/>
  <c r="E98" i="46"/>
  <c r="G97" i="46"/>
  <c r="E97" i="46"/>
  <c r="G96" i="46"/>
  <c r="A96" i="46" s="1"/>
  <c r="E96" i="46"/>
  <c r="G95" i="46"/>
  <c r="D95" i="46" s="1"/>
  <c r="E95" i="46"/>
  <c r="G99" i="33"/>
  <c r="G98" i="33"/>
  <c r="G97" i="33"/>
  <c r="G96" i="33"/>
  <c r="G95" i="33"/>
  <c r="G91" i="38"/>
  <c r="G90" i="38"/>
  <c r="G89" i="38"/>
  <c r="E89" i="38"/>
  <c r="G88" i="38"/>
  <c r="E88" i="38"/>
  <c r="G87" i="38"/>
  <c r="G86" i="38"/>
  <c r="G91" i="40"/>
  <c r="G90" i="40"/>
  <c r="G89" i="40"/>
  <c r="E89" i="40"/>
  <c r="G88" i="40"/>
  <c r="E88" i="40"/>
  <c r="G87" i="40"/>
  <c r="G86" i="40"/>
  <c r="G91" i="44"/>
  <c r="G90" i="44"/>
  <c r="G89" i="44"/>
  <c r="E89" i="44"/>
  <c r="G88" i="44"/>
  <c r="E88" i="44"/>
  <c r="G87" i="44"/>
  <c r="G86" i="44"/>
  <c r="G91" i="45"/>
  <c r="G90" i="45"/>
  <c r="G89" i="45"/>
  <c r="E89" i="45"/>
  <c r="G88" i="45"/>
  <c r="E88" i="45"/>
  <c r="G87" i="45"/>
  <c r="G86" i="45"/>
  <c r="G91" i="46"/>
  <c r="G90" i="46"/>
  <c r="G89" i="46"/>
  <c r="E89" i="46"/>
  <c r="G88" i="46"/>
  <c r="E88" i="46"/>
  <c r="G87" i="46"/>
  <c r="G86" i="46"/>
  <c r="E83" i="44"/>
  <c r="E83" i="45"/>
  <c r="E83" i="46"/>
  <c r="G76" i="38"/>
  <c r="G75" i="38"/>
  <c r="G74" i="38"/>
  <c r="E74" i="38"/>
  <c r="G73" i="38"/>
  <c r="E73" i="38"/>
  <c r="G72" i="38"/>
  <c r="G76" i="40"/>
  <c r="G75" i="40"/>
  <c r="G74" i="40"/>
  <c r="E74" i="40"/>
  <c r="G73" i="40"/>
  <c r="E73" i="40"/>
  <c r="G72" i="40"/>
  <c r="G76" i="44"/>
  <c r="G75" i="44"/>
  <c r="G74" i="44"/>
  <c r="E74" i="44"/>
  <c r="G73" i="44"/>
  <c r="E73" i="44"/>
  <c r="G72" i="44"/>
  <c r="G76" i="45"/>
  <c r="G75" i="45"/>
  <c r="G74" i="45"/>
  <c r="E74" i="45"/>
  <c r="G73" i="45"/>
  <c r="E73" i="45"/>
  <c r="G72" i="45"/>
  <c r="G76" i="46"/>
  <c r="G75" i="46"/>
  <c r="G74" i="46"/>
  <c r="E74" i="46"/>
  <c r="G73" i="46"/>
  <c r="E73" i="46"/>
  <c r="G72" i="46"/>
  <c r="G68" i="38"/>
  <c r="G67" i="38"/>
  <c r="G66" i="38"/>
  <c r="E66" i="38"/>
  <c r="G65" i="38"/>
  <c r="E65" i="38"/>
  <c r="G64" i="38"/>
  <c r="G63" i="38"/>
  <c r="G61" i="38"/>
  <c r="A61" i="38" s="1"/>
  <c r="E61" i="38"/>
  <c r="G60" i="38"/>
  <c r="D60" i="38" s="1"/>
  <c r="E60" i="38"/>
  <c r="G59" i="38"/>
  <c r="A59" i="38" s="1"/>
  <c r="E59" i="38"/>
  <c r="G58" i="38"/>
  <c r="E58" i="38"/>
  <c r="G57" i="38"/>
  <c r="A57" i="38" s="1"/>
  <c r="E57" i="38"/>
  <c r="G68" i="40"/>
  <c r="G67" i="40"/>
  <c r="G66" i="40"/>
  <c r="E66" i="40"/>
  <c r="G65" i="40"/>
  <c r="E65" i="40"/>
  <c r="G64" i="40"/>
  <c r="G63" i="40"/>
  <c r="G61" i="40"/>
  <c r="D61" i="40" s="1"/>
  <c r="E61" i="40"/>
  <c r="G60" i="40"/>
  <c r="A60" i="40" s="1"/>
  <c r="E60" i="40"/>
  <c r="G59" i="40"/>
  <c r="D59" i="40" s="1"/>
  <c r="E59" i="40"/>
  <c r="G58" i="40"/>
  <c r="E58" i="40"/>
  <c r="G57" i="40"/>
  <c r="D57" i="40" s="1"/>
  <c r="E57" i="40"/>
  <c r="G68" i="44"/>
  <c r="G67" i="44"/>
  <c r="G66" i="44"/>
  <c r="E66" i="44"/>
  <c r="G65" i="44"/>
  <c r="E65" i="44"/>
  <c r="G64" i="44"/>
  <c r="G63" i="44"/>
  <c r="G61" i="44"/>
  <c r="C61" i="44" s="1"/>
  <c r="E61" i="44"/>
  <c r="G60" i="44"/>
  <c r="A60" i="44" s="1"/>
  <c r="E60" i="44"/>
  <c r="G59" i="44"/>
  <c r="C59" i="44" s="1"/>
  <c r="E59" i="44"/>
  <c r="G58" i="44"/>
  <c r="E58" i="44"/>
  <c r="G57" i="44"/>
  <c r="C57" i="44" s="1"/>
  <c r="E57" i="44"/>
  <c r="G68" i="45"/>
  <c r="G67" i="45"/>
  <c r="G66" i="45"/>
  <c r="E66" i="45"/>
  <c r="G65" i="45"/>
  <c r="E65" i="45"/>
  <c r="G64" i="45"/>
  <c r="G63" i="45"/>
  <c r="G61" i="45"/>
  <c r="A61" i="45" s="1"/>
  <c r="E61" i="45"/>
  <c r="G60" i="45"/>
  <c r="D60" i="45" s="1"/>
  <c r="E60" i="45"/>
  <c r="G59" i="45"/>
  <c r="D59" i="45" s="1"/>
  <c r="E59" i="45"/>
  <c r="G58" i="45"/>
  <c r="E58" i="45"/>
  <c r="G57" i="45"/>
  <c r="D57" i="45" s="1"/>
  <c r="E57" i="45"/>
  <c r="G68" i="46"/>
  <c r="G67" i="46"/>
  <c r="G66" i="46"/>
  <c r="E66" i="46"/>
  <c r="G65" i="46"/>
  <c r="E65" i="46"/>
  <c r="G64" i="46"/>
  <c r="G63" i="46"/>
  <c r="G61" i="46"/>
  <c r="A61" i="46" s="1"/>
  <c r="E61" i="46"/>
  <c r="G60" i="46"/>
  <c r="C60" i="46" s="1"/>
  <c r="E60" i="46"/>
  <c r="G59" i="46"/>
  <c r="A59" i="46" s="1"/>
  <c r="E59" i="46"/>
  <c r="G58" i="46"/>
  <c r="E58" i="46"/>
  <c r="G57" i="46"/>
  <c r="A57" i="46" s="1"/>
  <c r="E57" i="46"/>
  <c r="G52" i="37"/>
  <c r="G51" i="37"/>
  <c r="G50" i="37"/>
  <c r="E50" i="37"/>
  <c r="G49" i="37"/>
  <c r="E49" i="37"/>
  <c r="G48" i="37"/>
  <c r="E48" i="37"/>
  <c r="G47" i="37"/>
  <c r="G45" i="37"/>
  <c r="C45" i="37" s="1"/>
  <c r="E45" i="37"/>
  <c r="G44" i="37"/>
  <c r="A44" i="37" s="1"/>
  <c r="E44" i="37"/>
  <c r="G43" i="37"/>
  <c r="C43" i="37" s="1"/>
  <c r="E43" i="37"/>
  <c r="G42" i="37"/>
  <c r="E42" i="37"/>
  <c r="G41" i="37"/>
  <c r="C41" i="37" s="1"/>
  <c r="E41" i="37"/>
  <c r="G52" i="39"/>
  <c r="G51" i="39"/>
  <c r="G50" i="39"/>
  <c r="E50" i="39"/>
  <c r="G49" i="39"/>
  <c r="E49" i="39"/>
  <c r="G48" i="39"/>
  <c r="E48" i="39"/>
  <c r="G47" i="39"/>
  <c r="G45" i="39"/>
  <c r="C45" i="39" s="1"/>
  <c r="E45" i="39"/>
  <c r="G44" i="39"/>
  <c r="A44" i="39" s="1"/>
  <c r="E44" i="39"/>
  <c r="G43" i="39"/>
  <c r="C43" i="39" s="1"/>
  <c r="E43" i="39"/>
  <c r="G42" i="39"/>
  <c r="E42" i="39"/>
  <c r="G41" i="39"/>
  <c r="C41" i="39" s="1"/>
  <c r="E41" i="39"/>
  <c r="G52" i="44"/>
  <c r="G51" i="44"/>
  <c r="G50" i="44"/>
  <c r="E50" i="44"/>
  <c r="G49" i="44"/>
  <c r="E49" i="44"/>
  <c r="G48" i="44"/>
  <c r="E48" i="44"/>
  <c r="G47" i="44"/>
  <c r="G45" i="44"/>
  <c r="C45" i="44" s="1"/>
  <c r="E45" i="44"/>
  <c r="G44" i="44"/>
  <c r="A44" i="44" s="1"/>
  <c r="E44" i="44"/>
  <c r="G43" i="44"/>
  <c r="C43" i="44" s="1"/>
  <c r="E43" i="44"/>
  <c r="G42" i="44"/>
  <c r="E42" i="44"/>
  <c r="G41" i="44"/>
  <c r="C41" i="44" s="1"/>
  <c r="E41" i="44"/>
  <c r="G52" i="45"/>
  <c r="G51" i="45"/>
  <c r="G50" i="45"/>
  <c r="E50" i="45"/>
  <c r="G49" i="45"/>
  <c r="E49" i="45"/>
  <c r="G48" i="45"/>
  <c r="E48" i="45"/>
  <c r="G47" i="45"/>
  <c r="G45" i="45"/>
  <c r="C45" i="45" s="1"/>
  <c r="E45" i="45"/>
  <c r="G44" i="45"/>
  <c r="A44" i="45" s="1"/>
  <c r="E44" i="45"/>
  <c r="G43" i="45"/>
  <c r="C43" i="45" s="1"/>
  <c r="E43" i="45"/>
  <c r="G42" i="45"/>
  <c r="E42" i="45"/>
  <c r="G41" i="45"/>
  <c r="C41" i="45" s="1"/>
  <c r="E41" i="45"/>
  <c r="G52" i="46"/>
  <c r="G51" i="46"/>
  <c r="G50" i="46"/>
  <c r="E50" i="46"/>
  <c r="G49" i="46"/>
  <c r="E49" i="46"/>
  <c r="G48" i="46"/>
  <c r="E48" i="46"/>
  <c r="G47" i="46"/>
  <c r="G45" i="46"/>
  <c r="C45" i="46" s="1"/>
  <c r="E45" i="46"/>
  <c r="G44" i="46"/>
  <c r="A44" i="46" s="1"/>
  <c r="E44" i="46"/>
  <c r="G43" i="46"/>
  <c r="C43" i="46" s="1"/>
  <c r="E43" i="46"/>
  <c r="G42" i="46"/>
  <c r="E42" i="46"/>
  <c r="G41" i="46"/>
  <c r="C41" i="46" s="1"/>
  <c r="E41" i="46"/>
  <c r="G36" i="38"/>
  <c r="G35" i="38"/>
  <c r="G34" i="38"/>
  <c r="E34" i="38"/>
  <c r="G33" i="38"/>
  <c r="E33" i="38"/>
  <c r="G32" i="38"/>
  <c r="G31" i="38"/>
  <c r="G36" i="40"/>
  <c r="G35" i="40"/>
  <c r="G34" i="40"/>
  <c r="E34" i="40"/>
  <c r="G33" i="40"/>
  <c r="E33" i="40"/>
  <c r="G32" i="40"/>
  <c r="G31" i="40"/>
  <c r="G36" i="44"/>
  <c r="G35" i="44"/>
  <c r="G34" i="44"/>
  <c r="E34" i="44"/>
  <c r="G33" i="44"/>
  <c r="E33" i="44"/>
  <c r="G32" i="44"/>
  <c r="G31" i="44"/>
  <c r="G36" i="45"/>
  <c r="G35" i="45"/>
  <c r="G34" i="45"/>
  <c r="E34" i="45"/>
  <c r="G33" i="45"/>
  <c r="E33" i="45"/>
  <c r="G32" i="45"/>
  <c r="G31" i="45"/>
  <c r="G36" i="46"/>
  <c r="G35" i="46"/>
  <c r="G34" i="46"/>
  <c r="E34" i="46"/>
  <c r="G33" i="46"/>
  <c r="E33" i="46"/>
  <c r="G32" i="46"/>
  <c r="G31" i="46"/>
  <c r="G27" i="38"/>
  <c r="G26" i="38"/>
  <c r="G25" i="38"/>
  <c r="E25" i="38"/>
  <c r="G24" i="38"/>
  <c r="E24" i="38"/>
  <c r="G23" i="38"/>
  <c r="G27" i="40"/>
  <c r="G26" i="40"/>
  <c r="G25" i="40"/>
  <c r="E25" i="40"/>
  <c r="G24" i="40"/>
  <c r="E24" i="40"/>
  <c r="G23" i="40"/>
  <c r="G27" i="44"/>
  <c r="G26" i="44"/>
  <c r="G25" i="44"/>
  <c r="E25" i="44"/>
  <c r="G24" i="44"/>
  <c r="E24" i="44"/>
  <c r="G23" i="44"/>
  <c r="G27" i="45"/>
  <c r="G26" i="45"/>
  <c r="G25" i="45"/>
  <c r="E25" i="45"/>
  <c r="G24" i="45"/>
  <c r="E24" i="45"/>
  <c r="G23" i="45"/>
  <c r="G27" i="46"/>
  <c r="G26" i="46"/>
  <c r="G25" i="46"/>
  <c r="E25" i="46"/>
  <c r="G24" i="46"/>
  <c r="E24" i="46"/>
  <c r="G23" i="46"/>
  <c r="G23" i="33"/>
  <c r="G19" i="37"/>
  <c r="G18" i="37"/>
  <c r="G17" i="37"/>
  <c r="E17" i="37"/>
  <c r="G16" i="37"/>
  <c r="E16" i="37"/>
  <c r="G15" i="37"/>
  <c r="E15" i="37"/>
  <c r="G14" i="37"/>
  <c r="G19" i="39"/>
  <c r="G18" i="39"/>
  <c r="G17" i="39"/>
  <c r="E17" i="39"/>
  <c r="G16" i="39"/>
  <c r="E16" i="39"/>
  <c r="G15" i="39"/>
  <c r="E15" i="39"/>
  <c r="G14" i="39"/>
  <c r="G19" i="44"/>
  <c r="G18" i="44"/>
  <c r="G17" i="44"/>
  <c r="E17" i="44"/>
  <c r="G16" i="44"/>
  <c r="E16" i="44"/>
  <c r="G15" i="44"/>
  <c r="E15" i="44"/>
  <c r="G14" i="44"/>
  <c r="G19" i="45"/>
  <c r="G18" i="45"/>
  <c r="G17" i="45"/>
  <c r="E17" i="45"/>
  <c r="G16" i="45"/>
  <c r="E16" i="45"/>
  <c r="G15" i="45"/>
  <c r="E15" i="45"/>
  <c r="G14" i="45"/>
  <c r="G19" i="46"/>
  <c r="G18" i="46"/>
  <c r="G17" i="46"/>
  <c r="E17" i="46"/>
  <c r="G16" i="46"/>
  <c r="E16" i="46"/>
  <c r="G15" i="46"/>
  <c r="E15" i="46"/>
  <c r="G14" i="46"/>
  <c r="G17" i="33"/>
  <c r="G16" i="33"/>
  <c r="G15" i="33"/>
  <c r="G14" i="33"/>
  <c r="G11" i="37"/>
  <c r="C11" i="37" s="1"/>
  <c r="E11" i="37"/>
  <c r="G10" i="37"/>
  <c r="A10" i="37" s="1"/>
  <c r="E10" i="37"/>
  <c r="G9" i="37"/>
  <c r="C9" i="37" s="1"/>
  <c r="E9" i="37"/>
  <c r="G8" i="37"/>
  <c r="E8" i="37"/>
  <c r="G7" i="37"/>
  <c r="D7" i="37" s="1"/>
  <c r="E7" i="37"/>
  <c r="G11" i="39"/>
  <c r="D11" i="39" s="1"/>
  <c r="E11" i="39"/>
  <c r="G10" i="39"/>
  <c r="A10" i="39" s="1"/>
  <c r="E10" i="39"/>
  <c r="G9" i="39"/>
  <c r="D9" i="39" s="1"/>
  <c r="E9" i="39"/>
  <c r="G8" i="39"/>
  <c r="E8" i="39"/>
  <c r="G7" i="39"/>
  <c r="D7" i="39" s="1"/>
  <c r="E7" i="39"/>
  <c r="G11" i="44"/>
  <c r="D11" i="44" s="1"/>
  <c r="E11" i="44"/>
  <c r="G10" i="44"/>
  <c r="A10" i="44" s="1"/>
  <c r="E10" i="44"/>
  <c r="G9" i="44"/>
  <c r="D9" i="44" s="1"/>
  <c r="E9" i="44"/>
  <c r="G8" i="44"/>
  <c r="E8" i="44"/>
  <c r="G7" i="44"/>
  <c r="D7" i="44" s="1"/>
  <c r="E7" i="44"/>
  <c r="G11" i="45"/>
  <c r="A11" i="45" s="1"/>
  <c r="E11" i="45"/>
  <c r="G10" i="45"/>
  <c r="D10" i="45" s="1"/>
  <c r="E10" i="45"/>
  <c r="G9" i="45"/>
  <c r="A9" i="45" s="1"/>
  <c r="E9" i="45"/>
  <c r="G8" i="45"/>
  <c r="E8" i="45"/>
  <c r="G7" i="45"/>
  <c r="A7" i="45" s="1"/>
  <c r="E7" i="45"/>
  <c r="G11" i="46"/>
  <c r="D11" i="46" s="1"/>
  <c r="E11" i="46"/>
  <c r="G10" i="46"/>
  <c r="A10" i="46" s="1"/>
  <c r="E10" i="46"/>
  <c r="G9" i="46"/>
  <c r="D9" i="46" s="1"/>
  <c r="E9" i="46"/>
  <c r="G8" i="46"/>
  <c r="E8" i="46"/>
  <c r="G7" i="46"/>
  <c r="D7" i="46" s="1"/>
  <c r="E7" i="46"/>
  <c r="G7" i="33"/>
  <c r="E128" i="1"/>
  <c r="G130" i="1"/>
  <c r="E130" i="1"/>
  <c r="E129" i="1"/>
  <c r="E120" i="1"/>
  <c r="G124" i="1"/>
  <c r="G123" i="1"/>
  <c r="G122" i="1"/>
  <c r="E122" i="1"/>
  <c r="G121" i="1"/>
  <c r="E121" i="1"/>
  <c r="G120" i="1"/>
  <c r="G119" i="1"/>
  <c r="E113" i="1"/>
  <c r="E112" i="1"/>
  <c r="E103" i="1"/>
  <c r="E98" i="1"/>
  <c r="E97" i="1"/>
  <c r="B11" i="37" l="1"/>
  <c r="A43" i="39"/>
  <c r="B96" i="39"/>
  <c r="B106" i="37"/>
  <c r="B7" i="37"/>
  <c r="B10" i="37"/>
  <c r="D41" i="44"/>
  <c r="B43" i="39"/>
  <c r="B44" i="39"/>
  <c r="D10" i="39"/>
  <c r="B9" i="37"/>
  <c r="D10" i="37"/>
  <c r="D43" i="39"/>
  <c r="D45" i="37"/>
  <c r="A99" i="37"/>
  <c r="A41" i="37"/>
  <c r="D106" i="45"/>
  <c r="D41" i="37"/>
  <c r="B102" i="39"/>
  <c r="A43" i="37"/>
  <c r="B96" i="44"/>
  <c r="B102" i="37"/>
  <c r="C102" i="35"/>
  <c r="B9" i="39"/>
  <c r="D43" i="37"/>
  <c r="D96" i="39"/>
  <c r="D99" i="37"/>
  <c r="D102" i="44"/>
  <c r="B107" i="39"/>
  <c r="A107" i="39"/>
  <c r="D45" i="39"/>
  <c r="B41" i="37"/>
  <c r="A45" i="37"/>
  <c r="B95" i="37"/>
  <c r="C107" i="39"/>
  <c r="B96" i="37"/>
  <c r="B107" i="37"/>
  <c r="B41" i="39"/>
  <c r="C57" i="45"/>
  <c r="A96" i="39"/>
  <c r="B99" i="39"/>
  <c r="C96" i="37"/>
  <c r="B107" i="45"/>
  <c r="B104" i="39"/>
  <c r="A106" i="39"/>
  <c r="A104" i="37"/>
  <c r="C107" i="37"/>
  <c r="C106" i="35"/>
  <c r="D41" i="39"/>
  <c r="A59" i="45"/>
  <c r="D96" i="46"/>
  <c r="B95" i="39"/>
  <c r="D99" i="39"/>
  <c r="D96" i="37"/>
  <c r="B106" i="39"/>
  <c r="B104" i="37"/>
  <c r="D107" i="37"/>
  <c r="A41" i="39"/>
  <c r="A99" i="39"/>
  <c r="A41" i="46"/>
  <c r="B7" i="39"/>
  <c r="B10" i="39"/>
  <c r="B11" i="39"/>
  <c r="A45" i="39"/>
  <c r="B43" i="37"/>
  <c r="B44" i="37"/>
  <c r="B45" i="37"/>
  <c r="B99" i="37"/>
  <c r="A102" i="37"/>
  <c r="A106" i="37"/>
  <c r="D106" i="37"/>
  <c r="C99" i="45"/>
  <c r="B106" i="45"/>
  <c r="C106" i="45"/>
  <c r="D43" i="45"/>
  <c r="A57" i="45"/>
  <c r="A96" i="45"/>
  <c r="D61" i="45"/>
  <c r="A60" i="45"/>
  <c r="B9" i="45"/>
  <c r="A41" i="45"/>
  <c r="B59" i="45"/>
  <c r="B61" i="45"/>
  <c r="B7" i="45"/>
  <c r="B41" i="45"/>
  <c r="B57" i="45"/>
  <c r="C59" i="45"/>
  <c r="D7" i="45"/>
  <c r="D41" i="45"/>
  <c r="A43" i="45"/>
  <c r="A102" i="45"/>
  <c r="C60" i="45"/>
  <c r="B10" i="45"/>
  <c r="D11" i="45"/>
  <c r="B44" i="45"/>
  <c r="D45" i="45"/>
  <c r="D9" i="45"/>
  <c r="C61" i="45"/>
  <c r="B11" i="45"/>
  <c r="A45" i="45"/>
  <c r="B60" i="45"/>
  <c r="B102" i="45"/>
  <c r="D57" i="44"/>
  <c r="B95" i="44"/>
  <c r="C99" i="44"/>
  <c r="A102" i="44"/>
  <c r="D10" i="44"/>
  <c r="A96" i="44"/>
  <c r="A106" i="44"/>
  <c r="B7" i="44"/>
  <c r="B9" i="44"/>
  <c r="B61" i="44"/>
  <c r="A43" i="44"/>
  <c r="D43" i="44"/>
  <c r="B43" i="44"/>
  <c r="C96" i="44"/>
  <c r="D99" i="44"/>
  <c r="A104" i="44"/>
  <c r="B11" i="44"/>
  <c r="A41" i="44"/>
  <c r="B104" i="44"/>
  <c r="A45" i="44"/>
  <c r="B59" i="44"/>
  <c r="B60" i="44"/>
  <c r="D61" i="44"/>
  <c r="B106" i="44"/>
  <c r="B44" i="44"/>
  <c r="D45" i="44"/>
  <c r="D59" i="44"/>
  <c r="D106" i="44"/>
  <c r="A107" i="44"/>
  <c r="B10" i="44"/>
  <c r="B41" i="44"/>
  <c r="B57" i="44"/>
  <c r="A99" i="44"/>
  <c r="B102" i="44"/>
  <c r="D104" i="44"/>
  <c r="B107" i="44"/>
  <c r="A59" i="40"/>
  <c r="A61" i="40"/>
  <c r="B60" i="40"/>
  <c r="C60" i="40"/>
  <c r="A57" i="40"/>
  <c r="D60" i="40"/>
  <c r="C57" i="40"/>
  <c r="B61" i="40"/>
  <c r="B59" i="40"/>
  <c r="C61" i="40"/>
  <c r="B57" i="40"/>
  <c r="C59" i="40"/>
  <c r="B57" i="38"/>
  <c r="B59" i="38"/>
  <c r="C57" i="38"/>
  <c r="B61" i="38"/>
  <c r="D57" i="38"/>
  <c r="A60" i="38"/>
  <c r="C61" i="38"/>
  <c r="C59" i="38"/>
  <c r="D61" i="38"/>
  <c r="D59" i="38"/>
  <c r="B60" i="38"/>
  <c r="C60" i="38"/>
  <c r="B102" i="35"/>
  <c r="A99" i="35"/>
  <c r="B104" i="35"/>
  <c r="D99" i="35"/>
  <c r="B96" i="35"/>
  <c r="C104" i="35"/>
  <c r="D96" i="35"/>
  <c r="D104" i="35"/>
  <c r="B99" i="35"/>
  <c r="D102" i="35"/>
  <c r="A106" i="35"/>
  <c r="B106" i="35"/>
  <c r="C96" i="35"/>
  <c r="A95" i="35"/>
  <c r="B107" i="35"/>
  <c r="B95" i="35"/>
  <c r="C99" i="46"/>
  <c r="A43" i="46"/>
  <c r="B59" i="46"/>
  <c r="A60" i="46"/>
  <c r="B61" i="46"/>
  <c r="C59" i="46"/>
  <c r="B60" i="46"/>
  <c r="B7" i="46"/>
  <c r="D45" i="46"/>
  <c r="B41" i="46"/>
  <c r="D60" i="46"/>
  <c r="C61" i="46"/>
  <c r="B11" i="46"/>
  <c r="D41" i="46"/>
  <c r="B96" i="46"/>
  <c r="B44" i="46"/>
  <c r="D43" i="46"/>
  <c r="C96" i="46"/>
  <c r="B10" i="46"/>
  <c r="A45" i="46"/>
  <c r="B57" i="46"/>
  <c r="B9" i="46"/>
  <c r="D10" i="46"/>
  <c r="C57" i="46"/>
  <c r="D99" i="46"/>
  <c r="B102" i="46"/>
  <c r="A99" i="46"/>
  <c r="B107" i="46"/>
  <c r="B106" i="46"/>
  <c r="A107" i="46"/>
  <c r="C107" i="46"/>
  <c r="B95" i="46"/>
  <c r="B104" i="46"/>
  <c r="A106" i="46"/>
  <c r="A99" i="45"/>
  <c r="B96" i="45"/>
  <c r="D96" i="45"/>
  <c r="D99" i="45"/>
  <c r="B95" i="45"/>
  <c r="A104" i="45"/>
  <c r="B104" i="45"/>
  <c r="D107" i="35"/>
  <c r="A107" i="35"/>
  <c r="C102" i="46"/>
  <c r="C104" i="46"/>
  <c r="C107" i="45"/>
  <c r="C102" i="39"/>
  <c r="C104" i="39"/>
  <c r="D102" i="46"/>
  <c r="D104" i="46"/>
  <c r="D106" i="46"/>
  <c r="C102" i="45"/>
  <c r="C104" i="45"/>
  <c r="D107" i="45"/>
  <c r="C107" i="44"/>
  <c r="D102" i="39"/>
  <c r="D104" i="39"/>
  <c r="D106" i="39"/>
  <c r="C102" i="37"/>
  <c r="C104" i="37"/>
  <c r="A95" i="46"/>
  <c r="A95" i="45"/>
  <c r="A95" i="44"/>
  <c r="A95" i="39"/>
  <c r="A95" i="37"/>
  <c r="C95" i="45"/>
  <c r="B99" i="45"/>
  <c r="B99" i="44"/>
  <c r="C95" i="39"/>
  <c r="C95" i="37"/>
  <c r="C95" i="35"/>
  <c r="C95" i="46"/>
  <c r="B99" i="46"/>
  <c r="C95" i="44"/>
  <c r="A57" i="44"/>
  <c r="A59" i="44"/>
  <c r="C60" i="44"/>
  <c r="A61" i="44"/>
  <c r="D57" i="46"/>
  <c r="D59" i="46"/>
  <c r="D61" i="46"/>
  <c r="D60" i="44"/>
  <c r="C44" i="46"/>
  <c r="C44" i="45"/>
  <c r="C44" i="44"/>
  <c r="C44" i="39"/>
  <c r="C44" i="37"/>
  <c r="B43" i="46"/>
  <c r="B43" i="45"/>
  <c r="D44" i="44"/>
  <c r="B45" i="44"/>
  <c r="D44" i="39"/>
  <c r="B45" i="39"/>
  <c r="D44" i="37"/>
  <c r="D44" i="46"/>
  <c r="B45" i="46"/>
  <c r="D44" i="45"/>
  <c r="B45" i="45"/>
  <c r="D9" i="37"/>
  <c r="D11" i="37"/>
  <c r="A7" i="46"/>
  <c r="A9" i="46"/>
  <c r="C10" i="46"/>
  <c r="A11" i="46"/>
  <c r="C7" i="45"/>
  <c r="C9" i="45"/>
  <c r="A10" i="45"/>
  <c r="C11" i="45"/>
  <c r="A7" i="44"/>
  <c r="A9" i="44"/>
  <c r="C10" i="44"/>
  <c r="A11" i="44"/>
  <c r="A7" i="39"/>
  <c r="A9" i="39"/>
  <c r="C10" i="39"/>
  <c r="A11" i="39"/>
  <c r="A7" i="37"/>
  <c r="A9" i="37"/>
  <c r="C10" i="37"/>
  <c r="A11" i="37"/>
  <c r="C7" i="46"/>
  <c r="C9" i="46"/>
  <c r="C11" i="46"/>
  <c r="C10" i="45"/>
  <c r="C7" i="44"/>
  <c r="C9" i="44"/>
  <c r="C11" i="44"/>
  <c r="C7" i="39"/>
  <c r="C9" i="39"/>
  <c r="C11" i="39"/>
  <c r="C7" i="37"/>
  <c r="G91" i="1" l="1"/>
  <c r="G90" i="1"/>
  <c r="G89" i="1"/>
  <c r="E89" i="1"/>
  <c r="G88" i="1"/>
  <c r="E88" i="1"/>
  <c r="G87" i="1"/>
  <c r="G86" i="1"/>
  <c r="E83" i="1"/>
  <c r="G76" i="1"/>
  <c r="G75" i="1"/>
  <c r="G74" i="1"/>
  <c r="E74" i="1"/>
  <c r="G73" i="1"/>
  <c r="E73" i="1"/>
  <c r="G72" i="1"/>
  <c r="G68" i="1"/>
  <c r="G67" i="1"/>
  <c r="G66" i="1"/>
  <c r="E66" i="1"/>
  <c r="G65" i="1"/>
  <c r="E65" i="1"/>
  <c r="G64" i="1"/>
  <c r="G63" i="1"/>
  <c r="G60" i="1"/>
  <c r="A60" i="1" s="1"/>
  <c r="E60" i="1"/>
  <c r="E58" i="1"/>
  <c r="G52" i="1"/>
  <c r="G51" i="1"/>
  <c r="G50" i="1"/>
  <c r="E50" i="1"/>
  <c r="G49" i="1"/>
  <c r="E49" i="1"/>
  <c r="G48" i="1"/>
  <c r="E48" i="1"/>
  <c r="G47" i="1"/>
  <c r="G45" i="1"/>
  <c r="D45" i="1" s="1"/>
  <c r="E45" i="1"/>
  <c r="G44" i="1"/>
  <c r="A44" i="1" s="1"/>
  <c r="E44" i="1"/>
  <c r="G43" i="1"/>
  <c r="D43" i="1" s="1"/>
  <c r="E43" i="1"/>
  <c r="G42" i="1"/>
  <c r="E42" i="1"/>
  <c r="G41" i="1"/>
  <c r="C41" i="1" s="1"/>
  <c r="E41" i="1"/>
  <c r="E34" i="1"/>
  <c r="E33" i="1"/>
  <c r="G25" i="1"/>
  <c r="E25" i="1"/>
  <c r="E24" i="1"/>
  <c r="E17" i="1"/>
  <c r="E16" i="1"/>
  <c r="E15" i="1"/>
  <c r="E10" i="1"/>
  <c r="E8" i="1"/>
  <c r="B41" i="1" l="1"/>
  <c r="C45" i="1"/>
  <c r="B44" i="1"/>
  <c r="D44" i="1"/>
  <c r="B43" i="1"/>
  <c r="C44" i="1"/>
  <c r="A45" i="1"/>
  <c r="A43" i="1"/>
  <c r="D41" i="1"/>
  <c r="A41" i="1"/>
  <c r="B45" i="1"/>
  <c r="C43" i="1"/>
  <c r="B60" i="1"/>
  <c r="C60" i="1"/>
  <c r="D60" i="1"/>
  <c r="E128" i="9" l="1"/>
  <c r="I159" i="49" l="1"/>
  <c r="G158" i="49"/>
  <c r="E158" i="49"/>
  <c r="G157" i="49"/>
  <c r="I155" i="49"/>
  <c r="G153" i="49"/>
  <c r="G152" i="49"/>
  <c r="G151" i="49"/>
  <c r="G150" i="49"/>
  <c r="G149" i="49"/>
  <c r="G148" i="49"/>
  <c r="I146" i="49"/>
  <c r="G145" i="49"/>
  <c r="C145" i="49" s="1"/>
  <c r="E145" i="49"/>
  <c r="G143" i="49"/>
  <c r="I141" i="49"/>
  <c r="G140" i="49"/>
  <c r="C140" i="49" s="1"/>
  <c r="E140" i="49"/>
  <c r="E139" i="49"/>
  <c r="D139" i="49"/>
  <c r="C139" i="49"/>
  <c r="B139" i="49"/>
  <c r="A139" i="49"/>
  <c r="G138" i="49"/>
  <c r="A138" i="49" s="1"/>
  <c r="E138" i="49"/>
  <c r="I136" i="49"/>
  <c r="G134" i="49"/>
  <c r="G133" i="49"/>
  <c r="G132" i="49"/>
  <c r="G131" i="49"/>
  <c r="G130" i="49"/>
  <c r="G129" i="49"/>
  <c r="G128" i="49"/>
  <c r="I126" i="49"/>
  <c r="H124" i="49"/>
  <c r="G124" i="49"/>
  <c r="E124" i="49"/>
  <c r="H123" i="49"/>
  <c r="E123" i="49"/>
  <c r="H122" i="49"/>
  <c r="E122" i="49"/>
  <c r="E121" i="49"/>
  <c r="H120" i="49"/>
  <c r="G120" i="49"/>
  <c r="E120" i="49"/>
  <c r="G119" i="49"/>
  <c r="I117" i="49"/>
  <c r="H115" i="49"/>
  <c r="G115" i="49"/>
  <c r="E115" i="49"/>
  <c r="H114" i="49"/>
  <c r="E114" i="49"/>
  <c r="E113" i="49"/>
  <c r="E112" i="49"/>
  <c r="H111" i="49"/>
  <c r="G111" i="49"/>
  <c r="E111" i="49"/>
  <c r="G110" i="49"/>
  <c r="I108" i="49"/>
  <c r="G107" i="49"/>
  <c r="A107" i="49" s="1"/>
  <c r="E107" i="49"/>
  <c r="H106" i="49"/>
  <c r="G106" i="49"/>
  <c r="C106" i="49" s="1"/>
  <c r="E106" i="49"/>
  <c r="H105" i="49"/>
  <c r="G105" i="49"/>
  <c r="G104" i="49"/>
  <c r="D104" i="49" s="1"/>
  <c r="E104" i="49"/>
  <c r="G103" i="49"/>
  <c r="E103" i="49"/>
  <c r="G102" i="49"/>
  <c r="A102" i="49" s="1"/>
  <c r="E102" i="49"/>
  <c r="L101" i="49"/>
  <c r="I100" i="49"/>
  <c r="H99" i="49"/>
  <c r="G99" i="49"/>
  <c r="A99" i="49" s="1"/>
  <c r="E99" i="49"/>
  <c r="H98" i="49"/>
  <c r="G98" i="49"/>
  <c r="E98" i="49"/>
  <c r="G97" i="49"/>
  <c r="E97" i="49"/>
  <c r="G96" i="49"/>
  <c r="D96" i="49" s="1"/>
  <c r="E96" i="49"/>
  <c r="G95" i="49"/>
  <c r="C95" i="49" s="1"/>
  <c r="E95" i="49"/>
  <c r="I93" i="49"/>
  <c r="L93" i="49" s="1"/>
  <c r="G91" i="49"/>
  <c r="G90" i="49"/>
  <c r="G89" i="49"/>
  <c r="G88" i="49"/>
  <c r="G87" i="49"/>
  <c r="G86" i="49"/>
  <c r="I84" i="49"/>
  <c r="G83" i="49"/>
  <c r="I81" i="49"/>
  <c r="G80" i="49"/>
  <c r="I78" i="49"/>
  <c r="L78" i="49" s="1"/>
  <c r="G76" i="49"/>
  <c r="G75" i="49"/>
  <c r="G74" i="49"/>
  <c r="G73" i="49"/>
  <c r="G72" i="49"/>
  <c r="K70" i="49"/>
  <c r="I70" i="49"/>
  <c r="G68" i="49"/>
  <c r="G67" i="49"/>
  <c r="G66" i="49"/>
  <c r="G65" i="49"/>
  <c r="G64" i="49"/>
  <c r="G63" i="49"/>
  <c r="J62" i="49"/>
  <c r="G61" i="49"/>
  <c r="A61" i="49" s="1"/>
  <c r="E61" i="49"/>
  <c r="G60" i="49"/>
  <c r="C60" i="49" s="1"/>
  <c r="E60" i="49"/>
  <c r="G59" i="49"/>
  <c r="A59" i="49" s="1"/>
  <c r="E59" i="49"/>
  <c r="G58" i="49"/>
  <c r="G57" i="49"/>
  <c r="A57" i="49" s="1"/>
  <c r="E57" i="49"/>
  <c r="I54" i="49"/>
  <c r="K54" i="49" s="1"/>
  <c r="G52" i="49"/>
  <c r="G51" i="49"/>
  <c r="G50" i="49"/>
  <c r="G49" i="49"/>
  <c r="G48" i="49"/>
  <c r="G47" i="49"/>
  <c r="G45" i="49"/>
  <c r="D45" i="49" s="1"/>
  <c r="E45" i="49"/>
  <c r="G44" i="49"/>
  <c r="C44" i="49" s="1"/>
  <c r="E44" i="49"/>
  <c r="G43" i="49"/>
  <c r="A43" i="49" s="1"/>
  <c r="E43" i="49"/>
  <c r="G42" i="49"/>
  <c r="G41" i="49"/>
  <c r="A41" i="49" s="1"/>
  <c r="E41" i="49"/>
  <c r="K38" i="49"/>
  <c r="I38" i="49"/>
  <c r="G36" i="49"/>
  <c r="G35" i="49"/>
  <c r="G34" i="49"/>
  <c r="G33" i="49"/>
  <c r="K32" i="49"/>
  <c r="G32" i="49"/>
  <c r="G31" i="49"/>
  <c r="K29" i="49"/>
  <c r="I29" i="49"/>
  <c r="G27" i="49"/>
  <c r="J26" i="49"/>
  <c r="G26" i="49"/>
  <c r="G25" i="49"/>
  <c r="J24" i="49"/>
  <c r="G24" i="49"/>
  <c r="G23" i="49"/>
  <c r="K21" i="49"/>
  <c r="I21" i="49"/>
  <c r="J19" i="49"/>
  <c r="G19" i="49"/>
  <c r="J18" i="49"/>
  <c r="G18" i="49"/>
  <c r="G17" i="49"/>
  <c r="J16" i="49"/>
  <c r="G16" i="49"/>
  <c r="J15" i="49"/>
  <c r="G15" i="49"/>
  <c r="J14" i="49"/>
  <c r="G14" i="49"/>
  <c r="I12" i="49"/>
  <c r="K12" i="49" s="1"/>
  <c r="G11" i="49"/>
  <c r="D11" i="49" s="1"/>
  <c r="E11" i="49"/>
  <c r="J10" i="49"/>
  <c r="G10" i="49"/>
  <c r="C10" i="49" s="1"/>
  <c r="E10" i="49"/>
  <c r="J9" i="49"/>
  <c r="G9" i="49"/>
  <c r="D9" i="49" s="1"/>
  <c r="E9" i="49"/>
  <c r="J8" i="49"/>
  <c r="G8" i="49"/>
  <c r="J7" i="49"/>
  <c r="G7" i="49"/>
  <c r="C7" i="49" s="1"/>
  <c r="E7" i="49"/>
  <c r="D140" i="49" l="1"/>
  <c r="A104" i="49"/>
  <c r="B104" i="49"/>
  <c r="C104" i="49"/>
  <c r="D145" i="49"/>
  <c r="B60" i="49"/>
  <c r="A45" i="49"/>
  <c r="A9" i="49"/>
  <c r="B9" i="49"/>
  <c r="B95" i="49"/>
  <c r="C45" i="49"/>
  <c r="B11" i="49"/>
  <c r="C9" i="49"/>
  <c r="B61" i="49"/>
  <c r="B7" i="49"/>
  <c r="B44" i="49"/>
  <c r="B57" i="49"/>
  <c r="B10" i="49"/>
  <c r="A11" i="49"/>
  <c r="B41" i="49"/>
  <c r="B43" i="49"/>
  <c r="D44" i="49"/>
  <c r="B45" i="49"/>
  <c r="B102" i="49"/>
  <c r="D102" i="49"/>
  <c r="D60" i="49"/>
  <c r="A95" i="49"/>
  <c r="B96" i="49"/>
  <c r="B99" i="49"/>
  <c r="C43" i="49"/>
  <c r="A44" i="49"/>
  <c r="C57" i="49"/>
  <c r="A60" i="49"/>
  <c r="C61" i="49"/>
  <c r="D95" i="49"/>
  <c r="B140" i="49"/>
  <c r="D43" i="49"/>
  <c r="D57" i="49"/>
  <c r="B59" i="49"/>
  <c r="D61" i="49"/>
  <c r="C11" i="49"/>
  <c r="D41" i="49"/>
  <c r="C102" i="49"/>
  <c r="A145" i="49"/>
  <c r="A96" i="49"/>
  <c r="B138" i="49"/>
  <c r="A106" i="49"/>
  <c r="D106" i="49"/>
  <c r="B106" i="49"/>
  <c r="B107" i="49"/>
  <c r="B145" i="49"/>
  <c r="C99" i="49"/>
  <c r="C107" i="49"/>
  <c r="C138" i="49"/>
  <c r="D7" i="49"/>
  <c r="D10" i="49"/>
  <c r="A7" i="49"/>
  <c r="A10" i="49"/>
  <c r="C41" i="49"/>
  <c r="C59" i="49"/>
  <c r="C96" i="49"/>
  <c r="D99" i="49"/>
  <c r="D107" i="49"/>
  <c r="D138" i="49"/>
  <c r="A140" i="49"/>
  <c r="D59" i="49"/>
  <c r="G156" i="48"/>
  <c r="G155" i="48"/>
  <c r="G154" i="48"/>
  <c r="G153" i="48"/>
  <c r="G152" i="48"/>
  <c r="G151" i="48"/>
  <c r="G146" i="48"/>
  <c r="G145" i="48"/>
  <c r="G140" i="48"/>
  <c r="I165" i="48"/>
  <c r="J165" i="48" s="1"/>
  <c r="G163" i="48"/>
  <c r="G162" i="48"/>
  <c r="C162" i="48" s="1"/>
  <c r="G161" i="48"/>
  <c r="G160" i="48"/>
  <c r="G159" i="48"/>
  <c r="D162" i="48" l="1"/>
  <c r="A162" i="48"/>
  <c r="B162" i="48"/>
  <c r="I157" i="48" l="1"/>
  <c r="J157" i="48" s="1"/>
  <c r="I149" i="48"/>
  <c r="J149" i="48" s="1"/>
  <c r="G148" i="48"/>
  <c r="C148" i="48" s="1"/>
  <c r="E148" i="48"/>
  <c r="G147" i="48"/>
  <c r="D147" i="48" s="1"/>
  <c r="G144" i="48"/>
  <c r="I142" i="48"/>
  <c r="G141" i="48"/>
  <c r="E141" i="48"/>
  <c r="G131" i="48"/>
  <c r="I138" i="48"/>
  <c r="J138" i="48" s="1"/>
  <c r="G136" i="48"/>
  <c r="G135" i="48"/>
  <c r="G134" i="48"/>
  <c r="G133" i="48"/>
  <c r="G132" i="48"/>
  <c r="I129" i="48"/>
  <c r="G128" i="48"/>
  <c r="I126" i="48"/>
  <c r="H124" i="48"/>
  <c r="G124" i="48"/>
  <c r="E124" i="48"/>
  <c r="H123" i="48"/>
  <c r="E123" i="48"/>
  <c r="H122" i="48"/>
  <c r="E122" i="48"/>
  <c r="E121" i="48"/>
  <c r="H120" i="48"/>
  <c r="G120" i="48"/>
  <c r="E120" i="48"/>
  <c r="G119" i="48"/>
  <c r="I117" i="48"/>
  <c r="H115" i="48"/>
  <c r="G115" i="48"/>
  <c r="E115" i="48"/>
  <c r="H114" i="48"/>
  <c r="E114" i="48"/>
  <c r="E113" i="48"/>
  <c r="E112" i="48"/>
  <c r="H111" i="48"/>
  <c r="G111" i="48"/>
  <c r="E111" i="48"/>
  <c r="G110" i="48"/>
  <c r="I108" i="48"/>
  <c r="G107" i="48"/>
  <c r="A107" i="48" s="1"/>
  <c r="E107" i="48"/>
  <c r="H106" i="48"/>
  <c r="G106" i="48"/>
  <c r="A106" i="48" s="1"/>
  <c r="E106" i="48"/>
  <c r="H105" i="48"/>
  <c r="G105" i="48"/>
  <c r="G104" i="48"/>
  <c r="C104" i="48" s="1"/>
  <c r="E104" i="48"/>
  <c r="G103" i="48"/>
  <c r="E103" i="48"/>
  <c r="G102" i="48"/>
  <c r="C102" i="48" s="1"/>
  <c r="E102" i="48"/>
  <c r="L101" i="48"/>
  <c r="I100" i="48"/>
  <c r="H99" i="48"/>
  <c r="G99" i="48"/>
  <c r="C99" i="48" s="1"/>
  <c r="E99" i="48"/>
  <c r="H98" i="48"/>
  <c r="G98" i="48"/>
  <c r="E98" i="48"/>
  <c r="G97" i="48"/>
  <c r="E97" i="48"/>
  <c r="G96" i="48"/>
  <c r="D96" i="48" s="1"/>
  <c r="E96" i="48"/>
  <c r="G95" i="48"/>
  <c r="D95" i="48" s="1"/>
  <c r="E95" i="48"/>
  <c r="I93" i="48"/>
  <c r="L93" i="48" s="1"/>
  <c r="G91" i="48"/>
  <c r="G90" i="48"/>
  <c r="G89" i="48"/>
  <c r="G88" i="48"/>
  <c r="G87" i="48"/>
  <c r="G86" i="48"/>
  <c r="I84" i="48"/>
  <c r="G83" i="48"/>
  <c r="I81" i="48"/>
  <c r="G80" i="48"/>
  <c r="I78" i="48"/>
  <c r="L78" i="48" s="1"/>
  <c r="G76" i="48"/>
  <c r="G75" i="48"/>
  <c r="G74" i="48"/>
  <c r="G73" i="48"/>
  <c r="G72" i="48"/>
  <c r="I70" i="48"/>
  <c r="K70" i="48" s="1"/>
  <c r="G68" i="48"/>
  <c r="G67" i="48"/>
  <c r="G66" i="48"/>
  <c r="G65" i="48"/>
  <c r="G64" i="48"/>
  <c r="G63" i="48"/>
  <c r="J62" i="48"/>
  <c r="G61" i="48"/>
  <c r="A61" i="48" s="1"/>
  <c r="E61" i="48"/>
  <c r="G60" i="48"/>
  <c r="D60" i="48" s="1"/>
  <c r="E60" i="48"/>
  <c r="G59" i="48"/>
  <c r="C59" i="48" s="1"/>
  <c r="E59" i="48"/>
  <c r="G58" i="48"/>
  <c r="G57" i="48"/>
  <c r="A57" i="48" s="1"/>
  <c r="E57" i="48"/>
  <c r="I54" i="48"/>
  <c r="K54" i="48" s="1"/>
  <c r="G52" i="48"/>
  <c r="G51" i="48"/>
  <c r="G50" i="48"/>
  <c r="G49" i="48"/>
  <c r="G48" i="48"/>
  <c r="G47" i="48"/>
  <c r="G45" i="48"/>
  <c r="C45" i="48" s="1"/>
  <c r="E45" i="48"/>
  <c r="G44" i="48"/>
  <c r="A44" i="48" s="1"/>
  <c r="E44" i="48"/>
  <c r="G43" i="48"/>
  <c r="C43" i="48" s="1"/>
  <c r="E43" i="48"/>
  <c r="G42" i="48"/>
  <c r="G41" i="48"/>
  <c r="C41" i="48" s="1"/>
  <c r="E41" i="48"/>
  <c r="I38" i="48"/>
  <c r="K38" i="48" s="1"/>
  <c r="G36" i="48"/>
  <c r="G35" i="48"/>
  <c r="G34" i="48"/>
  <c r="G33" i="48"/>
  <c r="G32" i="48"/>
  <c r="G31" i="48"/>
  <c r="I29" i="48"/>
  <c r="K29" i="48" s="1"/>
  <c r="J28" i="48"/>
  <c r="G27" i="48"/>
  <c r="J26" i="48"/>
  <c r="G26" i="48"/>
  <c r="G25" i="48"/>
  <c r="J24" i="48"/>
  <c r="G24" i="48"/>
  <c r="G23" i="48"/>
  <c r="I21" i="48"/>
  <c r="K21" i="48" s="1"/>
  <c r="J19" i="48"/>
  <c r="G19" i="48"/>
  <c r="J18" i="48"/>
  <c r="G18" i="48"/>
  <c r="G17" i="48"/>
  <c r="J16" i="48"/>
  <c r="G16" i="48"/>
  <c r="J15" i="48"/>
  <c r="G15" i="48"/>
  <c r="J14" i="48"/>
  <c r="G14" i="48"/>
  <c r="I12" i="48"/>
  <c r="K12" i="48" s="1"/>
  <c r="G11" i="48"/>
  <c r="C11" i="48" s="1"/>
  <c r="E11" i="48"/>
  <c r="J10" i="48"/>
  <c r="G10" i="48"/>
  <c r="A10" i="48" s="1"/>
  <c r="E10" i="48"/>
  <c r="J9" i="48"/>
  <c r="G9" i="48"/>
  <c r="D9" i="48" s="1"/>
  <c r="E9" i="48"/>
  <c r="J8" i="48"/>
  <c r="G8" i="48"/>
  <c r="J7" i="48"/>
  <c r="G7" i="48"/>
  <c r="A7" i="48" s="1"/>
  <c r="E7" i="48"/>
  <c r="I141" i="47"/>
  <c r="G140" i="47"/>
  <c r="E140" i="47"/>
  <c r="G139" i="47"/>
  <c r="G131" i="47"/>
  <c r="D11" i="48" l="1"/>
  <c r="C106" i="48"/>
  <c r="B107" i="48"/>
  <c r="A41" i="48"/>
  <c r="D61" i="48"/>
  <c r="D41" i="48"/>
  <c r="D148" i="48"/>
  <c r="A11" i="48"/>
  <c r="A147" i="48"/>
  <c r="A148" i="48"/>
  <c r="B147" i="48"/>
  <c r="C147" i="48"/>
  <c r="B148" i="48"/>
  <c r="B44" i="48"/>
  <c r="A43" i="48"/>
  <c r="B11" i="48"/>
  <c r="B43" i="48"/>
  <c r="A99" i="48"/>
  <c r="B41" i="48"/>
  <c r="D45" i="48"/>
  <c r="B57" i="48"/>
  <c r="B59" i="48"/>
  <c r="A45" i="48"/>
  <c r="B61" i="48"/>
  <c r="B102" i="48"/>
  <c r="A9" i="48"/>
  <c r="B95" i="48"/>
  <c r="B96" i="48"/>
  <c r="B9" i="48"/>
  <c r="B10" i="48"/>
  <c r="D59" i="48"/>
  <c r="B60" i="48"/>
  <c r="B7" i="48"/>
  <c r="D43" i="48"/>
  <c r="C44" i="48"/>
  <c r="B45" i="48"/>
  <c r="C57" i="48"/>
  <c r="A59" i="48"/>
  <c r="C61" i="48"/>
  <c r="B99" i="48"/>
  <c r="B104" i="48"/>
  <c r="D99" i="48"/>
  <c r="A60" i="48"/>
  <c r="A95" i="48"/>
  <c r="A96" i="48"/>
  <c r="D104" i="48"/>
  <c r="C96" i="48"/>
  <c r="D102" i="48"/>
  <c r="A102" i="48"/>
  <c r="A104" i="48"/>
  <c r="D106" i="48"/>
  <c r="C7" i="48"/>
  <c r="C10" i="48"/>
  <c r="C9" i="48"/>
  <c r="D10" i="48"/>
  <c r="D44" i="48"/>
  <c r="D57" i="48"/>
  <c r="C60" i="48"/>
  <c r="C95" i="48"/>
  <c r="D7" i="48"/>
  <c r="K32" i="48"/>
  <c r="B106" i="48"/>
  <c r="C107" i="48"/>
  <c r="D107" i="48"/>
  <c r="I137" i="47" l="1"/>
  <c r="J137" i="47" s="1"/>
  <c r="G135" i="47"/>
  <c r="G134" i="47"/>
  <c r="G133" i="47"/>
  <c r="G132" i="47"/>
  <c r="I129" i="47"/>
  <c r="G128" i="47"/>
  <c r="I126" i="47"/>
  <c r="H124" i="47"/>
  <c r="G124" i="47"/>
  <c r="E124" i="47"/>
  <c r="H123" i="47"/>
  <c r="E123" i="47"/>
  <c r="H122" i="47"/>
  <c r="E122" i="47"/>
  <c r="E121" i="47"/>
  <c r="H120" i="47"/>
  <c r="G120" i="47"/>
  <c r="E120" i="47"/>
  <c r="G119" i="47"/>
  <c r="I117" i="47"/>
  <c r="H115" i="47"/>
  <c r="G115" i="47"/>
  <c r="E115" i="47"/>
  <c r="H114" i="47"/>
  <c r="E114" i="47"/>
  <c r="E113" i="47"/>
  <c r="E112" i="47"/>
  <c r="H111" i="47"/>
  <c r="G111" i="47"/>
  <c r="E111" i="47"/>
  <c r="G110" i="47"/>
  <c r="I108" i="47"/>
  <c r="G107" i="47"/>
  <c r="A107" i="47" s="1"/>
  <c r="E107" i="47"/>
  <c r="H106" i="47"/>
  <c r="G106" i="47"/>
  <c r="E106" i="47"/>
  <c r="H105" i="47"/>
  <c r="G105" i="47"/>
  <c r="G104" i="47"/>
  <c r="C104" i="47" s="1"/>
  <c r="E104" i="47"/>
  <c r="G103" i="47"/>
  <c r="E103" i="47"/>
  <c r="G102" i="47"/>
  <c r="C102" i="47" s="1"/>
  <c r="E102" i="47"/>
  <c r="L101" i="47"/>
  <c r="I100" i="47"/>
  <c r="H99" i="47"/>
  <c r="G99" i="47"/>
  <c r="E99" i="47"/>
  <c r="H98" i="47"/>
  <c r="G98" i="47"/>
  <c r="E98" i="47"/>
  <c r="G97" i="47"/>
  <c r="E97" i="47"/>
  <c r="G96" i="47"/>
  <c r="A96" i="47" s="1"/>
  <c r="E96" i="47"/>
  <c r="G95" i="47"/>
  <c r="A95" i="47" s="1"/>
  <c r="E95" i="47"/>
  <c r="I93" i="47"/>
  <c r="L93" i="47" s="1"/>
  <c r="G91" i="47"/>
  <c r="G90" i="47"/>
  <c r="G89" i="47"/>
  <c r="G88" i="47"/>
  <c r="G87" i="47"/>
  <c r="G86" i="47"/>
  <c r="I84" i="47"/>
  <c r="G83" i="47"/>
  <c r="I81" i="47"/>
  <c r="G80" i="47"/>
  <c r="I78" i="47"/>
  <c r="L78" i="47" s="1"/>
  <c r="G76" i="47"/>
  <c r="G75" i="47"/>
  <c r="G74" i="47"/>
  <c r="G73" i="47"/>
  <c r="G72" i="47"/>
  <c r="I70" i="47"/>
  <c r="K70" i="47" s="1"/>
  <c r="G68" i="47"/>
  <c r="G67" i="47"/>
  <c r="G66" i="47"/>
  <c r="G65" i="47"/>
  <c r="G64" i="47"/>
  <c r="G63" i="47"/>
  <c r="J62" i="47"/>
  <c r="G61" i="47"/>
  <c r="D61" i="47" s="1"/>
  <c r="E61" i="47"/>
  <c r="G60" i="47"/>
  <c r="A60" i="47" s="1"/>
  <c r="E60" i="47"/>
  <c r="G59" i="47"/>
  <c r="A59" i="47" s="1"/>
  <c r="E59" i="47"/>
  <c r="G58" i="47"/>
  <c r="G57" i="47"/>
  <c r="A57" i="47" s="1"/>
  <c r="E57" i="47"/>
  <c r="I54" i="47"/>
  <c r="K54" i="47" s="1"/>
  <c r="G52" i="47"/>
  <c r="G51" i="47"/>
  <c r="G50" i="47"/>
  <c r="G49" i="47"/>
  <c r="G48" i="47"/>
  <c r="G47" i="47"/>
  <c r="G45" i="47"/>
  <c r="C45" i="47" s="1"/>
  <c r="E45" i="47"/>
  <c r="G44" i="47"/>
  <c r="A44" i="47" s="1"/>
  <c r="E44" i="47"/>
  <c r="G43" i="47"/>
  <c r="A43" i="47" s="1"/>
  <c r="E43" i="47"/>
  <c r="G42" i="47"/>
  <c r="G41" i="47"/>
  <c r="A41" i="47" s="1"/>
  <c r="E41" i="47"/>
  <c r="I38" i="47"/>
  <c r="K32" i="47" s="1"/>
  <c r="G36" i="47"/>
  <c r="G35" i="47"/>
  <c r="G34" i="47"/>
  <c r="G33" i="47"/>
  <c r="G32" i="47"/>
  <c r="G31" i="47"/>
  <c r="I29" i="47"/>
  <c r="K29" i="47" s="1"/>
  <c r="J28" i="47"/>
  <c r="G27" i="47"/>
  <c r="J26" i="47"/>
  <c r="G26" i="47"/>
  <c r="G25" i="47"/>
  <c r="J24" i="47"/>
  <c r="G24" i="47"/>
  <c r="G23" i="47"/>
  <c r="I21" i="47"/>
  <c r="K21" i="47" s="1"/>
  <c r="J19" i="47"/>
  <c r="G19" i="47"/>
  <c r="J18" i="47"/>
  <c r="G18" i="47"/>
  <c r="G17" i="47"/>
  <c r="J16" i="47"/>
  <c r="G16" i="47"/>
  <c r="J15" i="47"/>
  <c r="G15" i="47"/>
  <c r="J14" i="47"/>
  <c r="G14" i="47"/>
  <c r="I12" i="47"/>
  <c r="K12" i="47" s="1"/>
  <c r="G11" i="47"/>
  <c r="C11" i="47" s="1"/>
  <c r="E11" i="47"/>
  <c r="J10" i="47"/>
  <c r="G10" i="47"/>
  <c r="A10" i="47" s="1"/>
  <c r="E10" i="47"/>
  <c r="J9" i="47"/>
  <c r="G9" i="47"/>
  <c r="D9" i="47" s="1"/>
  <c r="E9" i="47"/>
  <c r="J8" i="47"/>
  <c r="G8" i="47"/>
  <c r="J7" i="47"/>
  <c r="G7" i="47"/>
  <c r="A7" i="47" s="1"/>
  <c r="E7" i="47"/>
  <c r="A11" i="47" l="1"/>
  <c r="A106" i="47"/>
  <c r="B104" i="47"/>
  <c r="C99" i="47"/>
  <c r="D102" i="47"/>
  <c r="B43" i="47"/>
  <c r="D11" i="47"/>
  <c r="B61" i="47"/>
  <c r="B11" i="47"/>
  <c r="A99" i="47"/>
  <c r="D45" i="47"/>
  <c r="B102" i="47"/>
  <c r="B45" i="47"/>
  <c r="B60" i="47"/>
  <c r="A45" i="47"/>
  <c r="B59" i="47"/>
  <c r="C106" i="47"/>
  <c r="B41" i="47"/>
  <c r="B44" i="47"/>
  <c r="C59" i="47"/>
  <c r="A9" i="47"/>
  <c r="B9" i="47"/>
  <c r="B10" i="47"/>
  <c r="C43" i="47"/>
  <c r="D104" i="47"/>
  <c r="A102" i="47"/>
  <c r="A104" i="47"/>
  <c r="B96" i="47"/>
  <c r="B95" i="47"/>
  <c r="D99" i="47"/>
  <c r="K38" i="47"/>
  <c r="A61" i="47"/>
  <c r="D106" i="47"/>
  <c r="B107" i="47"/>
  <c r="C96" i="47"/>
  <c r="B7" i="47"/>
  <c r="C41" i="47"/>
  <c r="D43" i="47"/>
  <c r="C44" i="47"/>
  <c r="B57" i="47"/>
  <c r="D59" i="47"/>
  <c r="C61" i="47"/>
  <c r="D96" i="47"/>
  <c r="D41" i="47"/>
  <c r="C57" i="47"/>
  <c r="B99" i="47"/>
  <c r="B106" i="47"/>
  <c r="D7" i="47"/>
  <c r="D44" i="47"/>
  <c r="D57" i="47"/>
  <c r="C60" i="47"/>
  <c r="C95" i="47"/>
  <c r="C7" i="47"/>
  <c r="C10" i="47"/>
  <c r="C9" i="47"/>
  <c r="D10" i="47"/>
  <c r="D60" i="47"/>
  <c r="D95" i="47"/>
  <c r="C107" i="47"/>
  <c r="D107" i="47"/>
  <c r="E131" i="9"/>
  <c r="E130" i="9"/>
  <c r="E114" i="9"/>
  <c r="E113" i="9"/>
  <c r="G130" i="37" l="1"/>
  <c r="I135" i="46" l="1"/>
  <c r="G133" i="46"/>
  <c r="G132" i="46"/>
  <c r="G131" i="46"/>
  <c r="G130" i="46"/>
  <c r="G129" i="46"/>
  <c r="G128" i="46"/>
  <c r="I126" i="46"/>
  <c r="I117" i="46"/>
  <c r="I108" i="46"/>
  <c r="L101" i="46"/>
  <c r="I100" i="46"/>
  <c r="I93" i="46"/>
  <c r="L93" i="46" s="1"/>
  <c r="I84" i="46"/>
  <c r="G83" i="46"/>
  <c r="I81" i="46"/>
  <c r="G80" i="46"/>
  <c r="I78" i="46"/>
  <c r="L78" i="46" s="1"/>
  <c r="I70" i="46"/>
  <c r="K70" i="46" s="1"/>
  <c r="J62" i="46"/>
  <c r="I54" i="46"/>
  <c r="K54" i="46" s="1"/>
  <c r="I38" i="46"/>
  <c r="K32" i="46" s="1"/>
  <c r="I29" i="46"/>
  <c r="K29" i="46" s="1"/>
  <c r="J26" i="46"/>
  <c r="J24" i="46"/>
  <c r="I21" i="46"/>
  <c r="K21" i="46" s="1"/>
  <c r="J19" i="46"/>
  <c r="J18" i="46"/>
  <c r="J16" i="46"/>
  <c r="J15" i="46"/>
  <c r="J14" i="46"/>
  <c r="I12" i="46"/>
  <c r="K12" i="46" s="1"/>
  <c r="J10" i="46"/>
  <c r="J9" i="46"/>
  <c r="J8" i="46"/>
  <c r="J7" i="46"/>
  <c r="I144" i="45"/>
  <c r="I135" i="45"/>
  <c r="I126" i="45"/>
  <c r="I117" i="45"/>
  <c r="I108" i="45"/>
  <c r="L101" i="45"/>
  <c r="I100" i="45"/>
  <c r="I93" i="45"/>
  <c r="L93" i="45" s="1"/>
  <c r="I84" i="45"/>
  <c r="G83" i="45"/>
  <c r="I81" i="45"/>
  <c r="G80" i="45"/>
  <c r="I78" i="45"/>
  <c r="L78" i="45" s="1"/>
  <c r="I70" i="45"/>
  <c r="K70" i="45" s="1"/>
  <c r="J62" i="45"/>
  <c r="I54" i="45"/>
  <c r="K54" i="45" s="1"/>
  <c r="I38" i="45"/>
  <c r="K32" i="45" s="1"/>
  <c r="I29" i="45"/>
  <c r="K29" i="45" s="1"/>
  <c r="J26" i="45"/>
  <c r="J24" i="45"/>
  <c r="I21" i="45"/>
  <c r="K21" i="45" s="1"/>
  <c r="J19" i="45"/>
  <c r="J18" i="45"/>
  <c r="J16" i="45"/>
  <c r="J15" i="45"/>
  <c r="J14" i="45"/>
  <c r="I12" i="45"/>
  <c r="K12" i="45" s="1"/>
  <c r="J10" i="45"/>
  <c r="J9" i="45"/>
  <c r="J8" i="45"/>
  <c r="J7" i="45"/>
  <c r="I135" i="44"/>
  <c r="K38" i="46" l="1"/>
  <c r="K38" i="45"/>
  <c r="I126" i="44"/>
  <c r="I117" i="44"/>
  <c r="I108" i="44"/>
  <c r="L101" i="44"/>
  <c r="I100" i="44"/>
  <c r="I93" i="44"/>
  <c r="L93" i="44" s="1"/>
  <c r="I84" i="44"/>
  <c r="G83" i="44"/>
  <c r="I81" i="44"/>
  <c r="G80" i="44"/>
  <c r="I78" i="44"/>
  <c r="L78" i="44" s="1"/>
  <c r="I70" i="44"/>
  <c r="K70" i="44" s="1"/>
  <c r="J62" i="44"/>
  <c r="I54" i="44"/>
  <c r="K54" i="44" s="1"/>
  <c r="I38" i="44"/>
  <c r="K38" i="44" s="1"/>
  <c r="I29" i="44"/>
  <c r="K29" i="44" s="1"/>
  <c r="J26" i="44"/>
  <c r="J24" i="44"/>
  <c r="I21" i="44"/>
  <c r="K21" i="44" s="1"/>
  <c r="J19" i="44"/>
  <c r="J18" i="44"/>
  <c r="J16" i="44"/>
  <c r="J15" i="44"/>
  <c r="J14" i="44"/>
  <c r="I12" i="44"/>
  <c r="K12" i="44" s="1"/>
  <c r="J10" i="44"/>
  <c r="J9" i="44"/>
  <c r="J8" i="44"/>
  <c r="J7" i="44"/>
  <c r="K32" i="44" l="1"/>
  <c r="H140" i="9" l="1"/>
  <c r="H139" i="9"/>
  <c r="I141" i="9"/>
  <c r="G143" i="42" l="1"/>
  <c r="G142" i="42"/>
  <c r="G141" i="42"/>
  <c r="G140" i="42"/>
  <c r="G139" i="42"/>
  <c r="G138" i="42"/>
  <c r="G135" i="42"/>
  <c r="G164" i="39"/>
  <c r="D164" i="39" s="1"/>
  <c r="E164" i="39"/>
  <c r="G163" i="39"/>
  <c r="C163" i="39" s="1"/>
  <c r="E163" i="39"/>
  <c r="G161" i="39"/>
  <c r="G160" i="39"/>
  <c r="G150" i="37"/>
  <c r="G149" i="37"/>
  <c r="G148" i="37"/>
  <c r="G147" i="37"/>
  <c r="G146" i="37"/>
  <c r="G145" i="37"/>
  <c r="G128" i="33"/>
  <c r="H124" i="41"/>
  <c r="G124" i="41"/>
  <c r="E124" i="41"/>
  <c r="H123" i="41"/>
  <c r="E123" i="41"/>
  <c r="H122" i="41"/>
  <c r="E122" i="41"/>
  <c r="E121" i="41"/>
  <c r="H120" i="41"/>
  <c r="G120" i="41"/>
  <c r="E120" i="41"/>
  <c r="G119" i="41"/>
  <c r="H124" i="42"/>
  <c r="G124" i="42"/>
  <c r="E124" i="42"/>
  <c r="H123" i="42"/>
  <c r="E123" i="42"/>
  <c r="H122" i="42"/>
  <c r="E122" i="42"/>
  <c r="E121" i="42"/>
  <c r="H120" i="42"/>
  <c r="G120" i="42"/>
  <c r="E120" i="42"/>
  <c r="G119" i="42"/>
  <c r="H115" i="41"/>
  <c r="G115" i="41"/>
  <c r="E115" i="41"/>
  <c r="H114" i="41"/>
  <c r="E114" i="41"/>
  <c r="E113" i="41"/>
  <c r="E112" i="41"/>
  <c r="H111" i="41"/>
  <c r="G111" i="41"/>
  <c r="E111" i="41"/>
  <c r="G110" i="41"/>
  <c r="H115" i="42"/>
  <c r="G115" i="42"/>
  <c r="E115" i="42"/>
  <c r="H114" i="42"/>
  <c r="E114" i="42"/>
  <c r="E113" i="42"/>
  <c r="E112" i="42"/>
  <c r="H111" i="42"/>
  <c r="G111" i="42"/>
  <c r="E111" i="42"/>
  <c r="G110" i="42"/>
  <c r="G107" i="41"/>
  <c r="A107" i="41" s="1"/>
  <c r="E107" i="41"/>
  <c r="H106" i="41"/>
  <c r="G106" i="41"/>
  <c r="E106" i="41"/>
  <c r="H105" i="41"/>
  <c r="G105" i="41"/>
  <c r="G104" i="41"/>
  <c r="D104" i="41" s="1"/>
  <c r="E104" i="41"/>
  <c r="G103" i="41"/>
  <c r="E103" i="41"/>
  <c r="G102" i="41"/>
  <c r="D102" i="41" s="1"/>
  <c r="E102" i="41"/>
  <c r="G107" i="42"/>
  <c r="C107" i="42" s="1"/>
  <c r="E107" i="42"/>
  <c r="H106" i="42"/>
  <c r="G106" i="42"/>
  <c r="C106" i="42" s="1"/>
  <c r="E106" i="42"/>
  <c r="H105" i="42"/>
  <c r="G105" i="42"/>
  <c r="G104" i="42"/>
  <c r="A104" i="42" s="1"/>
  <c r="E104" i="42"/>
  <c r="G103" i="42"/>
  <c r="E103" i="42"/>
  <c r="G102" i="42"/>
  <c r="A102" i="42" s="1"/>
  <c r="E102" i="42"/>
  <c r="H99" i="41"/>
  <c r="G99" i="41"/>
  <c r="C99" i="41" s="1"/>
  <c r="E99" i="41"/>
  <c r="H98" i="41"/>
  <c r="G98" i="41"/>
  <c r="E98" i="41"/>
  <c r="G97" i="41"/>
  <c r="E97" i="41"/>
  <c r="G96" i="41"/>
  <c r="A96" i="41" s="1"/>
  <c r="E96" i="41"/>
  <c r="G95" i="41"/>
  <c r="C95" i="41" s="1"/>
  <c r="E95" i="41"/>
  <c r="H99" i="42"/>
  <c r="G99" i="42"/>
  <c r="E99" i="42"/>
  <c r="H98" i="42"/>
  <c r="G98" i="42"/>
  <c r="E98" i="42"/>
  <c r="G97" i="42"/>
  <c r="E97" i="42"/>
  <c r="G96" i="42"/>
  <c r="A96" i="42" s="1"/>
  <c r="E96" i="42"/>
  <c r="G95" i="42"/>
  <c r="C95" i="42" s="1"/>
  <c r="E95" i="42"/>
  <c r="G128" i="42"/>
  <c r="G91" i="41"/>
  <c r="G90" i="41"/>
  <c r="G89" i="41"/>
  <c r="G88" i="41"/>
  <c r="G87" i="41"/>
  <c r="G86" i="41"/>
  <c r="G91" i="42"/>
  <c r="G90" i="42"/>
  <c r="G89" i="42"/>
  <c r="G88" i="42"/>
  <c r="G87" i="42"/>
  <c r="G86" i="42"/>
  <c r="G76" i="41"/>
  <c r="G75" i="41"/>
  <c r="G74" i="41"/>
  <c r="G73" i="41"/>
  <c r="G72" i="41"/>
  <c r="G76" i="42"/>
  <c r="G75" i="42"/>
  <c r="G74" i="42"/>
  <c r="G73" i="42"/>
  <c r="G72" i="42"/>
  <c r="G68" i="41"/>
  <c r="G67" i="41"/>
  <c r="G66" i="41"/>
  <c r="G65" i="41"/>
  <c r="G64" i="41"/>
  <c r="G63" i="41"/>
  <c r="G61" i="41"/>
  <c r="D61" i="41" s="1"/>
  <c r="E61" i="41"/>
  <c r="G60" i="41"/>
  <c r="D60" i="41" s="1"/>
  <c r="E60" i="41"/>
  <c r="G59" i="41"/>
  <c r="D59" i="41" s="1"/>
  <c r="E59" i="41"/>
  <c r="G58" i="41"/>
  <c r="G57" i="41"/>
  <c r="C57" i="41" s="1"/>
  <c r="E57" i="41"/>
  <c r="G68" i="42"/>
  <c r="G67" i="42"/>
  <c r="G66" i="42"/>
  <c r="G65" i="42"/>
  <c r="G64" i="42"/>
  <c r="G63" i="42"/>
  <c r="G61" i="42"/>
  <c r="A61" i="42" s="1"/>
  <c r="E61" i="42"/>
  <c r="G60" i="42"/>
  <c r="D60" i="42" s="1"/>
  <c r="E60" i="42"/>
  <c r="G59" i="42"/>
  <c r="A59" i="42" s="1"/>
  <c r="E59" i="42"/>
  <c r="G58" i="42"/>
  <c r="G57" i="42"/>
  <c r="A57" i="42" s="1"/>
  <c r="E57" i="42"/>
  <c r="G52" i="41"/>
  <c r="G51" i="41"/>
  <c r="G50" i="41"/>
  <c r="G49" i="41"/>
  <c r="G48" i="41"/>
  <c r="G47" i="41"/>
  <c r="G45" i="41"/>
  <c r="D45" i="41" s="1"/>
  <c r="E45" i="41"/>
  <c r="G44" i="41"/>
  <c r="C44" i="41" s="1"/>
  <c r="E44" i="41"/>
  <c r="G43" i="41"/>
  <c r="D43" i="41" s="1"/>
  <c r="E43" i="41"/>
  <c r="G42" i="41"/>
  <c r="G41" i="41"/>
  <c r="D41" i="41" s="1"/>
  <c r="E41" i="41"/>
  <c r="G52" i="42"/>
  <c r="G51" i="42"/>
  <c r="G50" i="42"/>
  <c r="G49" i="42"/>
  <c r="G48" i="42"/>
  <c r="G47" i="42"/>
  <c r="G45" i="42"/>
  <c r="D45" i="42" s="1"/>
  <c r="E45" i="42"/>
  <c r="G44" i="42"/>
  <c r="D44" i="42" s="1"/>
  <c r="E44" i="42"/>
  <c r="G43" i="42"/>
  <c r="A43" i="42" s="1"/>
  <c r="E43" i="42"/>
  <c r="G42" i="42"/>
  <c r="G41" i="42"/>
  <c r="A41" i="42" s="1"/>
  <c r="E41" i="42"/>
  <c r="G36" i="41"/>
  <c r="G35" i="41"/>
  <c r="G34" i="41"/>
  <c r="G33" i="41"/>
  <c r="G32" i="41"/>
  <c r="G31" i="41"/>
  <c r="G36" i="42"/>
  <c r="G35" i="42"/>
  <c r="G34" i="42"/>
  <c r="G33" i="42"/>
  <c r="G32" i="42"/>
  <c r="G31" i="42"/>
  <c r="G27" i="41"/>
  <c r="G26" i="41"/>
  <c r="G25" i="41"/>
  <c r="G24" i="41"/>
  <c r="G23" i="41"/>
  <c r="G27" i="42"/>
  <c r="G26" i="42"/>
  <c r="G25" i="42"/>
  <c r="G24" i="42"/>
  <c r="G23" i="42"/>
  <c r="G19" i="41"/>
  <c r="G18" i="41"/>
  <c r="G17" i="41"/>
  <c r="G16" i="41"/>
  <c r="G15" i="41"/>
  <c r="G14" i="41"/>
  <c r="G19" i="42"/>
  <c r="G18" i="42"/>
  <c r="G17" i="42"/>
  <c r="G16" i="42"/>
  <c r="G15" i="42"/>
  <c r="G14" i="42"/>
  <c r="G11" i="41"/>
  <c r="A11" i="41" s="1"/>
  <c r="E11" i="41"/>
  <c r="G10" i="41"/>
  <c r="A10" i="41" s="1"/>
  <c r="E10" i="41"/>
  <c r="G9" i="41"/>
  <c r="A9" i="41" s="1"/>
  <c r="E9" i="41"/>
  <c r="G8" i="41"/>
  <c r="G7" i="41"/>
  <c r="B7" i="41" s="1"/>
  <c r="E7" i="41"/>
  <c r="G11" i="42"/>
  <c r="C11" i="42" s="1"/>
  <c r="E11" i="42"/>
  <c r="G10" i="42"/>
  <c r="D10" i="42" s="1"/>
  <c r="E10" i="42"/>
  <c r="G9" i="42"/>
  <c r="A9" i="42" s="1"/>
  <c r="E9" i="42"/>
  <c r="G8" i="42"/>
  <c r="G7" i="42"/>
  <c r="E7" i="42"/>
  <c r="G128" i="1"/>
  <c r="G129" i="1"/>
  <c r="G131" i="1"/>
  <c r="G132" i="1"/>
  <c r="G133" i="1"/>
  <c r="H115" i="1"/>
  <c r="G115" i="1"/>
  <c r="E115" i="1"/>
  <c r="H114" i="1"/>
  <c r="E114" i="1"/>
  <c r="H111" i="1"/>
  <c r="G111" i="1"/>
  <c r="G110" i="1"/>
  <c r="E57" i="1"/>
  <c r="G57" i="1"/>
  <c r="G58" i="1"/>
  <c r="E59" i="1"/>
  <c r="G59" i="1"/>
  <c r="D59" i="1" s="1"/>
  <c r="E61" i="1"/>
  <c r="G61" i="1"/>
  <c r="B61" i="1" s="1"/>
  <c r="G33" i="1"/>
  <c r="G32" i="1"/>
  <c r="G36" i="1"/>
  <c r="G35" i="1"/>
  <c r="G34" i="1"/>
  <c r="G31" i="1"/>
  <c r="G27" i="1"/>
  <c r="G26" i="1"/>
  <c r="G24" i="1"/>
  <c r="G19" i="1"/>
  <c r="G18" i="1"/>
  <c r="G17" i="1"/>
  <c r="G16" i="1"/>
  <c r="G15" i="1"/>
  <c r="B11" i="41" l="1"/>
  <c r="A60" i="41"/>
  <c r="A45" i="42"/>
  <c r="C60" i="41"/>
  <c r="B59" i="42"/>
  <c r="C99" i="42"/>
  <c r="B44" i="41"/>
  <c r="B57" i="42"/>
  <c r="B104" i="42"/>
  <c r="B9" i="42"/>
  <c r="A44" i="42"/>
  <c r="B45" i="42"/>
  <c r="C61" i="42"/>
  <c r="B96" i="42"/>
  <c r="A95" i="41"/>
  <c r="B102" i="42"/>
  <c r="C9" i="42"/>
  <c r="A10" i="42"/>
  <c r="A11" i="42"/>
  <c r="D9" i="42"/>
  <c r="B10" i="42"/>
  <c r="B41" i="42"/>
  <c r="B43" i="42"/>
  <c r="A41" i="41"/>
  <c r="C60" i="42"/>
  <c r="B57" i="41"/>
  <c r="A59" i="41"/>
  <c r="B60" i="41"/>
  <c r="A61" i="41"/>
  <c r="B95" i="42"/>
  <c r="D102" i="42"/>
  <c r="A106" i="42"/>
  <c r="C106" i="41"/>
  <c r="A164" i="39"/>
  <c r="B163" i="39"/>
  <c r="B10" i="41"/>
  <c r="C41" i="41"/>
  <c r="B43" i="41"/>
  <c r="C44" i="42"/>
  <c r="B9" i="41"/>
  <c r="C45" i="42"/>
  <c r="A60" i="42"/>
  <c r="B61" i="42"/>
  <c r="B61" i="41"/>
  <c r="A107" i="42"/>
  <c r="B106" i="41"/>
  <c r="B107" i="41"/>
  <c r="D163" i="39"/>
  <c r="B107" i="42"/>
  <c r="B44" i="42"/>
  <c r="B41" i="41"/>
  <c r="A95" i="42"/>
  <c r="B99" i="41"/>
  <c r="D61" i="1"/>
  <c r="D11" i="42"/>
  <c r="D10" i="41"/>
  <c r="A61" i="1"/>
  <c r="B59" i="1"/>
  <c r="A59" i="1"/>
  <c r="A57" i="1"/>
  <c r="D57" i="1"/>
  <c r="D7" i="41"/>
  <c r="A7" i="41"/>
  <c r="A7" i="42"/>
  <c r="B7" i="42"/>
  <c r="B11" i="42"/>
  <c r="C10" i="41"/>
  <c r="D44" i="41"/>
  <c r="B45" i="41"/>
  <c r="C59" i="42"/>
  <c r="D61" i="42"/>
  <c r="D57" i="41"/>
  <c r="D95" i="42"/>
  <c r="B95" i="41"/>
  <c r="B96" i="41"/>
  <c r="C102" i="42"/>
  <c r="C104" i="42"/>
  <c r="D107" i="42"/>
  <c r="C107" i="41"/>
  <c r="C43" i="42"/>
  <c r="A43" i="41"/>
  <c r="A44" i="41"/>
  <c r="D59" i="42"/>
  <c r="B60" i="42"/>
  <c r="A57" i="41"/>
  <c r="B59" i="41"/>
  <c r="D95" i="41"/>
  <c r="D104" i="42"/>
  <c r="D43" i="42"/>
  <c r="B99" i="42"/>
  <c r="D106" i="41"/>
  <c r="A45" i="41"/>
  <c r="B164" i="39"/>
  <c r="C164" i="39"/>
  <c r="A163" i="39"/>
  <c r="B106" i="42"/>
  <c r="A102" i="41"/>
  <c r="A104" i="41"/>
  <c r="A106" i="41"/>
  <c r="B102" i="41"/>
  <c r="B104" i="41"/>
  <c r="D107" i="41"/>
  <c r="D106" i="42"/>
  <c r="C102" i="41"/>
  <c r="C104" i="41"/>
  <c r="D96" i="41"/>
  <c r="A99" i="41"/>
  <c r="C96" i="42"/>
  <c r="D99" i="42"/>
  <c r="C96" i="41"/>
  <c r="D99" i="41"/>
  <c r="D96" i="42"/>
  <c r="A99" i="42"/>
  <c r="C57" i="42"/>
  <c r="D57" i="42"/>
  <c r="C59" i="41"/>
  <c r="C61" i="41"/>
  <c r="C41" i="42"/>
  <c r="D41" i="42"/>
  <c r="C43" i="41"/>
  <c r="C45" i="41"/>
  <c r="C7" i="42"/>
  <c r="C9" i="41"/>
  <c r="C11" i="41"/>
  <c r="D9" i="41"/>
  <c r="D11" i="41"/>
  <c r="D7" i="42"/>
  <c r="C10" i="42"/>
  <c r="C7" i="41"/>
  <c r="C57" i="1"/>
  <c r="C61" i="1"/>
  <c r="C59" i="1"/>
  <c r="B57" i="1"/>
  <c r="I21" i="9" l="1"/>
  <c r="I152" i="37" l="1"/>
  <c r="I143" i="37"/>
  <c r="G142" i="37"/>
  <c r="G141" i="37"/>
  <c r="G140" i="37"/>
  <c r="G139" i="37"/>
  <c r="G138" i="37"/>
  <c r="I145" i="42" l="1"/>
  <c r="I136" i="42"/>
  <c r="I132" i="42"/>
  <c r="I126" i="42"/>
  <c r="I117" i="42"/>
  <c r="I108" i="42"/>
  <c r="L101" i="42"/>
  <c r="I100" i="42"/>
  <c r="I93" i="42"/>
  <c r="L93" i="42" s="1"/>
  <c r="I84" i="42"/>
  <c r="G83" i="42"/>
  <c r="I81" i="42"/>
  <c r="G80" i="42"/>
  <c r="I78" i="42"/>
  <c r="L78" i="42" s="1"/>
  <c r="I70" i="42"/>
  <c r="K70" i="42" s="1"/>
  <c r="J62" i="42"/>
  <c r="I54" i="42"/>
  <c r="K54" i="42" s="1"/>
  <c r="I38" i="42"/>
  <c r="K38" i="42" s="1"/>
  <c r="I29" i="42"/>
  <c r="K29" i="42" s="1"/>
  <c r="J28" i="42"/>
  <c r="J26" i="42"/>
  <c r="J24" i="42"/>
  <c r="I21" i="42"/>
  <c r="K21" i="42" s="1"/>
  <c r="J19" i="42"/>
  <c r="J18" i="42"/>
  <c r="J16" i="42"/>
  <c r="J15" i="42"/>
  <c r="J14" i="42"/>
  <c r="I12" i="42"/>
  <c r="K12" i="42" s="1"/>
  <c r="J10" i="42"/>
  <c r="J9" i="42"/>
  <c r="J8" i="42"/>
  <c r="J7" i="42"/>
  <c r="K32" i="42" l="1"/>
  <c r="I132" i="9" l="1"/>
  <c r="G130" i="9"/>
  <c r="G129" i="9"/>
  <c r="G128" i="9"/>
  <c r="G127" i="9"/>
  <c r="G126" i="9"/>
  <c r="G125" i="9"/>
  <c r="I123" i="9"/>
  <c r="I136" i="37" l="1"/>
  <c r="G135" i="37"/>
  <c r="G133" i="37"/>
  <c r="I131" i="37"/>
  <c r="G128" i="37"/>
  <c r="G131" i="33"/>
  <c r="D131" i="33" s="1"/>
  <c r="E131" i="33"/>
  <c r="G130" i="33"/>
  <c r="D130" i="33" s="1"/>
  <c r="E130" i="33"/>
  <c r="I145" i="1"/>
  <c r="G144" i="1"/>
  <c r="G142" i="1"/>
  <c r="I140" i="1"/>
  <c r="G139" i="1"/>
  <c r="E139" i="1"/>
  <c r="G137" i="1"/>
  <c r="E137" i="1"/>
  <c r="A131" i="33" l="1"/>
  <c r="B131" i="33"/>
  <c r="B130" i="33"/>
  <c r="C131" i="33"/>
  <c r="A130" i="33"/>
  <c r="C130" i="33"/>
  <c r="G107" i="1"/>
  <c r="D107" i="1" s="1"/>
  <c r="E107" i="1"/>
  <c r="H106" i="1"/>
  <c r="G106" i="1"/>
  <c r="E106" i="1"/>
  <c r="H105" i="1"/>
  <c r="G105" i="1"/>
  <c r="G104" i="1"/>
  <c r="A104" i="1" s="1"/>
  <c r="E104" i="1"/>
  <c r="G103" i="1"/>
  <c r="G102" i="1"/>
  <c r="A102" i="1" s="1"/>
  <c r="E102" i="1"/>
  <c r="H99" i="1"/>
  <c r="G99" i="1"/>
  <c r="C99" i="1" s="1"/>
  <c r="E99" i="1"/>
  <c r="H98" i="1"/>
  <c r="G98" i="1"/>
  <c r="G97" i="1"/>
  <c r="G96" i="1"/>
  <c r="D96" i="1" s="1"/>
  <c r="E96" i="1"/>
  <c r="G95" i="1"/>
  <c r="D95" i="1" s="1"/>
  <c r="E95" i="1"/>
  <c r="G23" i="1"/>
  <c r="G11" i="1"/>
  <c r="D11" i="1" s="1"/>
  <c r="E11" i="1"/>
  <c r="G10" i="1"/>
  <c r="G9" i="1"/>
  <c r="D9" i="1" s="1"/>
  <c r="E9" i="1"/>
  <c r="G8" i="1"/>
  <c r="G7" i="1"/>
  <c r="D7" i="1" s="1"/>
  <c r="E7" i="1"/>
  <c r="A10" i="1" l="1"/>
  <c r="B10" i="1"/>
  <c r="C10" i="1"/>
  <c r="D10" i="1"/>
  <c r="B102" i="1"/>
  <c r="C102" i="1"/>
  <c r="B104" i="1"/>
  <c r="B107" i="1"/>
  <c r="C106" i="1"/>
  <c r="B95" i="1"/>
  <c r="A95" i="1"/>
  <c r="B7" i="1"/>
  <c r="A9" i="1"/>
  <c r="A11" i="1"/>
  <c r="A96" i="1"/>
  <c r="D99" i="1"/>
  <c r="A107" i="1"/>
  <c r="C107" i="1"/>
  <c r="B96" i="1"/>
  <c r="C96" i="1"/>
  <c r="A7" i="1"/>
  <c r="A99" i="1"/>
  <c r="C104" i="1"/>
  <c r="B106" i="1"/>
  <c r="D104" i="1"/>
  <c r="D106" i="1"/>
  <c r="D102" i="1"/>
  <c r="A106" i="1"/>
  <c r="B99" i="1"/>
  <c r="C95" i="1"/>
  <c r="B9" i="1"/>
  <c r="B11" i="1"/>
  <c r="C7" i="1"/>
  <c r="C9" i="1"/>
  <c r="C11" i="1"/>
  <c r="I133" i="40" l="1"/>
  <c r="I165" i="39"/>
  <c r="I150" i="39"/>
  <c r="I133" i="39"/>
  <c r="I139" i="38"/>
  <c r="I130" i="38"/>
  <c r="I130" i="36"/>
  <c r="I138" i="35"/>
  <c r="I129" i="35"/>
  <c r="G128" i="35"/>
  <c r="I136" i="34" l="1"/>
  <c r="I145" i="33" l="1"/>
  <c r="I136" i="33"/>
  <c r="I132" i="33"/>
  <c r="I126" i="1" l="1"/>
  <c r="I126" i="41"/>
  <c r="I126" i="40"/>
  <c r="I126" i="39"/>
  <c r="I126" i="38"/>
  <c r="I126" i="37"/>
  <c r="I126" i="36"/>
  <c r="I126" i="35"/>
  <c r="I126" i="34"/>
  <c r="I126" i="33"/>
  <c r="I108" i="1"/>
  <c r="I108" i="41"/>
  <c r="I108" i="40"/>
  <c r="I108" i="39"/>
  <c r="I108" i="38"/>
  <c r="I108" i="37"/>
  <c r="I108" i="36"/>
  <c r="I108" i="35"/>
  <c r="I108" i="34"/>
  <c r="I108" i="33"/>
  <c r="I117" i="33"/>
  <c r="I117" i="34"/>
  <c r="I117" i="35"/>
  <c r="I117" i="36"/>
  <c r="I117" i="37"/>
  <c r="I117" i="38"/>
  <c r="I117" i="39"/>
  <c r="I117" i="40"/>
  <c r="I117" i="41"/>
  <c r="I117" i="1"/>
  <c r="I135" i="1" l="1"/>
  <c r="L101" i="41" l="1"/>
  <c r="I100" i="41"/>
  <c r="I93" i="41"/>
  <c r="L93" i="41" s="1"/>
  <c r="I84" i="41"/>
  <c r="G83" i="41"/>
  <c r="I81" i="41"/>
  <c r="G80" i="41"/>
  <c r="I78" i="41"/>
  <c r="L78" i="41" s="1"/>
  <c r="I70" i="41"/>
  <c r="K70" i="41" s="1"/>
  <c r="J62" i="41"/>
  <c r="I54" i="41"/>
  <c r="K54" i="41" s="1"/>
  <c r="I38" i="41"/>
  <c r="K32" i="41" s="1"/>
  <c r="I29" i="41"/>
  <c r="K29" i="41" s="1"/>
  <c r="J28" i="41"/>
  <c r="J26" i="41"/>
  <c r="J24" i="41"/>
  <c r="I21" i="41"/>
  <c r="K21" i="41" s="1"/>
  <c r="J19" i="41"/>
  <c r="J18" i="41"/>
  <c r="J16" i="41"/>
  <c r="J15" i="41"/>
  <c r="J14" i="41"/>
  <c r="I12" i="41"/>
  <c r="K12" i="41" s="1"/>
  <c r="J10" i="41"/>
  <c r="J9" i="41"/>
  <c r="J8" i="41"/>
  <c r="J7" i="41"/>
  <c r="L101" i="40"/>
  <c r="I100" i="40"/>
  <c r="I93" i="40"/>
  <c r="L93" i="40" s="1"/>
  <c r="I84" i="40"/>
  <c r="I78" i="40"/>
  <c r="L78" i="40" s="1"/>
  <c r="I70" i="40"/>
  <c r="K70" i="40" s="1"/>
  <c r="J62" i="40"/>
  <c r="I54" i="40"/>
  <c r="K54" i="40" s="1"/>
  <c r="I38" i="40"/>
  <c r="I29" i="40"/>
  <c r="K29" i="40" s="1"/>
  <c r="J28" i="40"/>
  <c r="J26" i="40"/>
  <c r="J24" i="40"/>
  <c r="I21" i="40"/>
  <c r="K21" i="40" s="1"/>
  <c r="J19" i="40"/>
  <c r="J18" i="40"/>
  <c r="J16" i="40"/>
  <c r="J15" i="40"/>
  <c r="J14" i="40"/>
  <c r="I12" i="40"/>
  <c r="K12" i="40" s="1"/>
  <c r="J10" i="40"/>
  <c r="J9" i="40"/>
  <c r="J8" i="40"/>
  <c r="J7" i="40"/>
  <c r="L101" i="39"/>
  <c r="I100" i="39"/>
  <c r="I93" i="39"/>
  <c r="L93" i="39" s="1"/>
  <c r="I84" i="39"/>
  <c r="I78" i="39"/>
  <c r="L78" i="39" s="1"/>
  <c r="I70" i="39"/>
  <c r="K70" i="39" s="1"/>
  <c r="J62" i="39"/>
  <c r="I54" i="39"/>
  <c r="K54" i="39" s="1"/>
  <c r="I38" i="39"/>
  <c r="K32" i="39" s="1"/>
  <c r="I29" i="39"/>
  <c r="K29" i="39" s="1"/>
  <c r="J28" i="39"/>
  <c r="J26" i="39"/>
  <c r="J24" i="39"/>
  <c r="I21" i="39"/>
  <c r="K21" i="39" s="1"/>
  <c r="J19" i="39"/>
  <c r="J18" i="39"/>
  <c r="J16" i="39"/>
  <c r="J15" i="39"/>
  <c r="J14" i="39"/>
  <c r="I12" i="39"/>
  <c r="K12" i="39" s="1"/>
  <c r="J10" i="39"/>
  <c r="J9" i="39"/>
  <c r="J8" i="39"/>
  <c r="J7" i="39"/>
  <c r="L101" i="38"/>
  <c r="I100" i="38"/>
  <c r="I93" i="38"/>
  <c r="L93" i="38" s="1"/>
  <c r="I84" i="38"/>
  <c r="I78" i="38"/>
  <c r="L78" i="38" s="1"/>
  <c r="I70" i="38"/>
  <c r="K70" i="38" s="1"/>
  <c r="J62" i="38"/>
  <c r="I54" i="38"/>
  <c r="K54" i="38" s="1"/>
  <c r="I38" i="38"/>
  <c r="I29" i="38"/>
  <c r="K29" i="38" s="1"/>
  <c r="J28" i="38"/>
  <c r="J26" i="38"/>
  <c r="J24" i="38"/>
  <c r="I21" i="38"/>
  <c r="K21" i="38" s="1"/>
  <c r="J19" i="38"/>
  <c r="J18" i="38"/>
  <c r="J16" i="38"/>
  <c r="J15" i="38"/>
  <c r="J14" i="38"/>
  <c r="I12" i="38"/>
  <c r="K12" i="38" s="1"/>
  <c r="J10" i="38"/>
  <c r="J9" i="38"/>
  <c r="J8" i="38"/>
  <c r="J7" i="38"/>
  <c r="L101" i="37"/>
  <c r="I100" i="37"/>
  <c r="I93" i="37"/>
  <c r="L93" i="37" s="1"/>
  <c r="I84" i="37"/>
  <c r="I78" i="37"/>
  <c r="L78" i="37" s="1"/>
  <c r="I70" i="37"/>
  <c r="K70" i="37" s="1"/>
  <c r="J62" i="37"/>
  <c r="I54" i="37"/>
  <c r="K54" i="37" s="1"/>
  <c r="I38" i="37"/>
  <c r="K32" i="37" s="1"/>
  <c r="I29" i="37"/>
  <c r="K29" i="37" s="1"/>
  <c r="J28" i="37"/>
  <c r="J26" i="37"/>
  <c r="J24" i="37"/>
  <c r="I21" i="37"/>
  <c r="K21" i="37" s="1"/>
  <c r="J19" i="37"/>
  <c r="J18" i="37"/>
  <c r="J16" i="37"/>
  <c r="J15" i="37"/>
  <c r="J14" i="37"/>
  <c r="I12" i="37"/>
  <c r="K12" i="37" s="1"/>
  <c r="J10" i="37"/>
  <c r="J9" i="37"/>
  <c r="J8" i="37"/>
  <c r="J7" i="37"/>
  <c r="L101" i="36"/>
  <c r="I100" i="36"/>
  <c r="I93" i="36"/>
  <c r="L93" i="36" s="1"/>
  <c r="I84" i="36"/>
  <c r="I78" i="36"/>
  <c r="L78" i="36" s="1"/>
  <c r="I70" i="36"/>
  <c r="K70" i="36" s="1"/>
  <c r="J62" i="36"/>
  <c r="I54" i="36"/>
  <c r="K54" i="36" s="1"/>
  <c r="I38" i="36"/>
  <c r="K32" i="36" s="1"/>
  <c r="I29" i="36"/>
  <c r="K29" i="36" s="1"/>
  <c r="J28" i="36"/>
  <c r="J26" i="36"/>
  <c r="J24" i="36"/>
  <c r="I21" i="36"/>
  <c r="K21" i="36" s="1"/>
  <c r="J19" i="36"/>
  <c r="J18" i="36"/>
  <c r="J16" i="36"/>
  <c r="J15" i="36"/>
  <c r="J14" i="36"/>
  <c r="I12" i="36"/>
  <c r="K12" i="36" s="1"/>
  <c r="J10" i="36"/>
  <c r="J9" i="36"/>
  <c r="J8" i="36"/>
  <c r="J7" i="36"/>
  <c r="L101" i="35"/>
  <c r="I100" i="35"/>
  <c r="I93" i="35"/>
  <c r="L93" i="35" s="1"/>
  <c r="I84" i="35"/>
  <c r="I78" i="35"/>
  <c r="L78" i="35" s="1"/>
  <c r="I70" i="35"/>
  <c r="K70" i="35" s="1"/>
  <c r="J62" i="35"/>
  <c r="I54" i="35"/>
  <c r="K54" i="35" s="1"/>
  <c r="I38" i="35"/>
  <c r="K32" i="35" s="1"/>
  <c r="I29" i="35"/>
  <c r="K29" i="35" s="1"/>
  <c r="J28" i="35"/>
  <c r="J26" i="35"/>
  <c r="J24" i="35"/>
  <c r="I21" i="35"/>
  <c r="K21" i="35" s="1"/>
  <c r="J19" i="35"/>
  <c r="J18" i="35"/>
  <c r="J16" i="35"/>
  <c r="J15" i="35"/>
  <c r="J14" i="35"/>
  <c r="I12" i="35"/>
  <c r="K12" i="35" s="1"/>
  <c r="J10" i="35"/>
  <c r="J9" i="35"/>
  <c r="J8" i="35"/>
  <c r="J7" i="35"/>
  <c r="L101" i="34"/>
  <c r="I100" i="34"/>
  <c r="I93" i="34"/>
  <c r="L93" i="34" s="1"/>
  <c r="I84" i="34"/>
  <c r="I78" i="34"/>
  <c r="L78" i="34" s="1"/>
  <c r="I70" i="34"/>
  <c r="K70" i="34" s="1"/>
  <c r="J62" i="34"/>
  <c r="I54" i="34"/>
  <c r="K54" i="34" s="1"/>
  <c r="I38" i="34"/>
  <c r="K38" i="34" s="1"/>
  <c r="I29" i="34"/>
  <c r="K29" i="34" s="1"/>
  <c r="J28" i="34"/>
  <c r="J26" i="34"/>
  <c r="J24" i="34"/>
  <c r="I21" i="34"/>
  <c r="K21" i="34" s="1"/>
  <c r="J19" i="34"/>
  <c r="J18" i="34"/>
  <c r="J16" i="34"/>
  <c r="J15" i="34"/>
  <c r="J14" i="34"/>
  <c r="I12" i="34"/>
  <c r="K12" i="34" s="1"/>
  <c r="J10" i="34"/>
  <c r="J9" i="34"/>
  <c r="J8" i="34"/>
  <c r="J7" i="34"/>
  <c r="L101" i="33"/>
  <c r="I100" i="33"/>
  <c r="I93" i="33"/>
  <c r="L93" i="33" s="1"/>
  <c r="I84" i="33"/>
  <c r="G83" i="33"/>
  <c r="I81" i="33"/>
  <c r="G80" i="33"/>
  <c r="I78" i="33"/>
  <c r="L78" i="33" s="1"/>
  <c r="I70" i="33"/>
  <c r="K70" i="33" s="1"/>
  <c r="J62" i="33"/>
  <c r="I54" i="33"/>
  <c r="K54" i="33" s="1"/>
  <c r="I38" i="33"/>
  <c r="K32" i="33" s="1"/>
  <c r="I29" i="33"/>
  <c r="K29" i="33" s="1"/>
  <c r="J28" i="33"/>
  <c r="J26" i="33"/>
  <c r="J24" i="33"/>
  <c r="I21" i="33"/>
  <c r="K21" i="33" s="1"/>
  <c r="J19" i="33"/>
  <c r="J18" i="33"/>
  <c r="J16" i="33"/>
  <c r="J15" i="33"/>
  <c r="J14" i="33"/>
  <c r="I12" i="33"/>
  <c r="K12" i="33" s="1"/>
  <c r="J10" i="33"/>
  <c r="J9" i="33"/>
  <c r="J8" i="33"/>
  <c r="J7" i="33"/>
  <c r="K38" i="41" l="1"/>
  <c r="K38" i="39"/>
  <c r="K38" i="36"/>
  <c r="K38" i="33"/>
  <c r="K32" i="34"/>
  <c r="K38" i="35"/>
  <c r="K38" i="37"/>
  <c r="K38" i="38"/>
  <c r="K32" i="38"/>
  <c r="K32" i="40"/>
  <c r="K38" i="40"/>
  <c r="I100" i="1" l="1"/>
  <c r="G83" i="1"/>
  <c r="G80" i="1"/>
  <c r="I78" i="1" l="1"/>
  <c r="I29" i="1"/>
  <c r="I38" i="1" l="1"/>
  <c r="I108" i="9" l="1"/>
  <c r="G107" i="9"/>
  <c r="I30" i="9" l="1"/>
  <c r="I115" i="9"/>
  <c r="G113" i="9"/>
  <c r="G112" i="9"/>
  <c r="D6" i="26" l="1"/>
  <c r="E6" i="26"/>
  <c r="F6" i="26"/>
  <c r="D7" i="26"/>
  <c r="E7" i="26"/>
  <c r="F7" i="26"/>
  <c r="D8" i="26"/>
  <c r="E8" i="26"/>
  <c r="F8" i="26"/>
  <c r="D4" i="26"/>
  <c r="E4" i="26"/>
  <c r="F4" i="26"/>
  <c r="D4" i="25"/>
  <c r="E4" i="25"/>
  <c r="F4" i="25"/>
  <c r="D6" i="25"/>
  <c r="E6" i="25"/>
  <c r="F6" i="25"/>
  <c r="D7" i="25"/>
  <c r="E7" i="25"/>
  <c r="F7" i="25"/>
  <c r="D8" i="25"/>
  <c r="E8" i="25"/>
  <c r="F8" i="25"/>
  <c r="D6" i="24"/>
  <c r="E6" i="24"/>
  <c r="F6" i="24"/>
  <c r="D7" i="24"/>
  <c r="E7" i="24"/>
  <c r="F7" i="24"/>
  <c r="D8" i="24"/>
  <c r="E8" i="24"/>
  <c r="F8" i="24"/>
  <c r="D4" i="24"/>
  <c r="E4" i="24"/>
  <c r="F4" i="24"/>
  <c r="D4" i="23"/>
  <c r="E4" i="23"/>
  <c r="F4" i="23"/>
  <c r="D6" i="23"/>
  <c r="E6" i="23"/>
  <c r="F6" i="23"/>
  <c r="D7" i="23"/>
  <c r="E7" i="23"/>
  <c r="F7" i="23"/>
  <c r="D8" i="23"/>
  <c r="E8" i="23"/>
  <c r="F8" i="23"/>
  <c r="D6" i="21"/>
  <c r="E6" i="21"/>
  <c r="F6" i="21"/>
  <c r="D7" i="21"/>
  <c r="E7" i="21"/>
  <c r="F7" i="21"/>
  <c r="D8" i="21"/>
  <c r="E8" i="21"/>
  <c r="F8" i="21"/>
  <c r="D4" i="21"/>
  <c r="E4" i="21"/>
  <c r="F4" i="21"/>
  <c r="D6" i="22"/>
  <c r="E6" i="22"/>
  <c r="F6" i="22"/>
  <c r="D7" i="22"/>
  <c r="E7" i="22"/>
  <c r="F7" i="22"/>
  <c r="D8" i="22"/>
  <c r="E8" i="22"/>
  <c r="F8" i="22"/>
  <c r="D4" i="22"/>
  <c r="E4" i="22"/>
  <c r="F4" i="22"/>
  <c r="D6" i="20"/>
  <c r="E6" i="20"/>
  <c r="F6" i="20"/>
  <c r="D7" i="20"/>
  <c r="E7" i="20"/>
  <c r="F7" i="20"/>
  <c r="D8" i="20"/>
  <c r="E8" i="20"/>
  <c r="F8" i="20"/>
  <c r="D4" i="20"/>
  <c r="E4" i="20"/>
  <c r="F4" i="20"/>
  <c r="D6" i="19"/>
  <c r="E6" i="19"/>
  <c r="F6" i="19"/>
  <c r="D7" i="19"/>
  <c r="E7" i="19"/>
  <c r="F7" i="19"/>
  <c r="D8" i="19"/>
  <c r="E8" i="19"/>
  <c r="F8" i="19"/>
  <c r="D4" i="19"/>
  <c r="E4" i="19"/>
  <c r="F4" i="19"/>
  <c r="D6" i="18"/>
  <c r="E6" i="18"/>
  <c r="F6" i="18"/>
  <c r="D7" i="18"/>
  <c r="E7" i="18"/>
  <c r="F7" i="18"/>
  <c r="D8" i="18"/>
  <c r="E8" i="18"/>
  <c r="F8" i="18"/>
  <c r="D4" i="18"/>
  <c r="E4" i="18"/>
  <c r="F4" i="18"/>
  <c r="D6" i="17"/>
  <c r="E6" i="17"/>
  <c r="F6" i="17"/>
  <c r="D7" i="17"/>
  <c r="E7" i="17"/>
  <c r="F7" i="17"/>
  <c r="D8" i="17"/>
  <c r="E8" i="17"/>
  <c r="F8" i="17"/>
  <c r="D4" i="17"/>
  <c r="E4" i="17"/>
  <c r="F4" i="17"/>
  <c r="D6" i="16"/>
  <c r="E6" i="16"/>
  <c r="F6" i="16"/>
  <c r="D7" i="16"/>
  <c r="E7" i="16"/>
  <c r="F7" i="16"/>
  <c r="D8" i="16"/>
  <c r="E8" i="16"/>
  <c r="F8" i="16"/>
  <c r="D4" i="16"/>
  <c r="E4" i="16"/>
  <c r="F4" i="16"/>
  <c r="D4" i="15"/>
  <c r="E4" i="15"/>
  <c r="F4" i="15"/>
  <c r="D6" i="15"/>
  <c r="E6" i="15"/>
  <c r="F6" i="15"/>
  <c r="D7" i="15"/>
  <c r="E7" i="15"/>
  <c r="F7" i="15"/>
  <c r="D8" i="15"/>
  <c r="E8" i="15"/>
  <c r="F8" i="15"/>
  <c r="D6" i="13"/>
  <c r="E6" i="13"/>
  <c r="F6" i="13"/>
  <c r="D7" i="13"/>
  <c r="E7" i="13"/>
  <c r="F7" i="13"/>
  <c r="D8" i="13"/>
  <c r="E8" i="13"/>
  <c r="F8" i="13"/>
  <c r="D4" i="13"/>
  <c r="E4" i="13"/>
  <c r="F4" i="13"/>
  <c r="D6" i="12"/>
  <c r="E6" i="12"/>
  <c r="F6" i="12"/>
  <c r="D7" i="12"/>
  <c r="E7" i="12"/>
  <c r="F7" i="12"/>
  <c r="D8" i="12"/>
  <c r="E8" i="12"/>
  <c r="F8" i="12"/>
  <c r="D4" i="12"/>
  <c r="E4" i="12"/>
  <c r="F4" i="12"/>
  <c r="D6" i="11"/>
  <c r="E6" i="11"/>
  <c r="F6" i="11"/>
  <c r="D7" i="11"/>
  <c r="E7" i="11"/>
  <c r="F7" i="11"/>
  <c r="D8" i="11"/>
  <c r="E8" i="11"/>
  <c r="F8" i="11"/>
  <c r="D4" i="11"/>
  <c r="E4" i="11"/>
  <c r="F4" i="11"/>
  <c r="D4" i="10"/>
  <c r="E4" i="10"/>
  <c r="F4" i="10"/>
  <c r="D8" i="10"/>
  <c r="E8" i="10"/>
  <c r="F8" i="10"/>
  <c r="D6" i="10"/>
  <c r="E6" i="10"/>
  <c r="F6" i="10"/>
  <c r="D7" i="10"/>
  <c r="E7" i="10"/>
  <c r="F7" i="10"/>
  <c r="G8" i="24" l="1"/>
  <c r="C8" i="24"/>
  <c r="J7" i="24"/>
  <c r="C7" i="24"/>
  <c r="H6" i="24"/>
  <c r="C6" i="24"/>
  <c r="J6" i="24"/>
  <c r="H4" i="24"/>
  <c r="C4" i="24"/>
  <c r="J8" i="23"/>
  <c r="C8" i="23"/>
  <c r="G8" i="23"/>
  <c r="J7" i="23"/>
  <c r="C7" i="23"/>
  <c r="G7" i="23"/>
  <c r="G6" i="23"/>
  <c r="C6" i="23"/>
  <c r="G4" i="23"/>
  <c r="C4" i="23"/>
  <c r="J4" i="23"/>
  <c r="G8" i="22"/>
  <c r="C8" i="22"/>
  <c r="I8" i="22"/>
  <c r="G7" i="22"/>
  <c r="C7" i="22"/>
  <c r="I7" i="22"/>
  <c r="H6" i="22"/>
  <c r="C6" i="22"/>
  <c r="H4" i="22"/>
  <c r="C4" i="22"/>
  <c r="G4" i="22"/>
  <c r="G8" i="21"/>
  <c r="C8" i="21"/>
  <c r="J7" i="21"/>
  <c r="C7" i="21"/>
  <c r="G7" i="21"/>
  <c r="H6" i="21"/>
  <c r="C6" i="21"/>
  <c r="J6" i="21"/>
  <c r="H4" i="21"/>
  <c r="C4" i="21"/>
  <c r="G8" i="20"/>
  <c r="C8" i="20"/>
  <c r="J7" i="20"/>
  <c r="C7" i="20"/>
  <c r="I6" i="20"/>
  <c r="C6" i="20"/>
  <c r="H6" i="20"/>
  <c r="G4" i="20"/>
  <c r="C4" i="20"/>
  <c r="H8" i="19"/>
  <c r="C8" i="19"/>
  <c r="J7" i="19"/>
  <c r="C7" i="19"/>
  <c r="G7" i="19"/>
  <c r="H6" i="19"/>
  <c r="C6" i="19"/>
  <c r="I6" i="19"/>
  <c r="H4" i="19"/>
  <c r="C4" i="19"/>
  <c r="G8" i="18"/>
  <c r="C8" i="18"/>
  <c r="J7" i="18"/>
  <c r="C7" i="18"/>
  <c r="G7" i="18"/>
  <c r="H6" i="18"/>
  <c r="C6" i="18"/>
  <c r="H4" i="18"/>
  <c r="C4" i="18"/>
  <c r="J4" i="18"/>
  <c r="G8" i="17"/>
  <c r="C8" i="17"/>
  <c r="J8" i="17"/>
  <c r="G7" i="17"/>
  <c r="C7" i="17"/>
  <c r="H7" i="17"/>
  <c r="J6" i="17"/>
  <c r="C6" i="17"/>
  <c r="J4" i="17"/>
  <c r="C4" i="17"/>
  <c r="G4" i="17"/>
  <c r="G8" i="16"/>
  <c r="C8" i="16"/>
  <c r="H7" i="16"/>
  <c r="C7" i="16"/>
  <c r="G7" i="16"/>
  <c r="G6" i="16"/>
  <c r="C6" i="16"/>
  <c r="G4" i="16"/>
  <c r="C4" i="16"/>
  <c r="H4" i="16"/>
  <c r="G8" i="15"/>
  <c r="C8" i="15"/>
  <c r="J7" i="15"/>
  <c r="C7" i="15"/>
  <c r="H6" i="15"/>
  <c r="C6" i="15"/>
  <c r="H4" i="15"/>
  <c r="C4" i="15"/>
  <c r="I8" i="13"/>
  <c r="C8" i="13"/>
  <c r="J7" i="13"/>
  <c r="C7" i="13"/>
  <c r="G6" i="13"/>
  <c r="C6" i="13"/>
  <c r="G4" i="13"/>
  <c r="C4" i="13"/>
  <c r="G8" i="12"/>
  <c r="C8" i="12"/>
  <c r="G7" i="12"/>
  <c r="C7" i="12"/>
  <c r="H6" i="12"/>
  <c r="C6" i="12"/>
  <c r="G6" i="12"/>
  <c r="H4" i="12"/>
  <c r="C4" i="12"/>
  <c r="G6" i="17" l="1"/>
  <c r="J6" i="18"/>
  <c r="I4" i="20"/>
  <c r="H8" i="20"/>
  <c r="G6" i="22"/>
  <c r="G4" i="12"/>
  <c r="J4" i="13"/>
  <c r="G7" i="13"/>
  <c r="H7" i="15"/>
  <c r="I4" i="19"/>
  <c r="G7" i="20"/>
  <c r="J4" i="21"/>
  <c r="I8" i="21"/>
  <c r="J6" i="23"/>
  <c r="I4" i="24"/>
  <c r="I8" i="24"/>
  <c r="G7" i="24"/>
  <c r="I6" i="24"/>
  <c r="H7" i="24"/>
  <c r="H4" i="23"/>
  <c r="I4" i="23"/>
  <c r="H6" i="23"/>
  <c r="I7" i="23"/>
  <c r="I8" i="23"/>
  <c r="I6" i="22"/>
  <c r="J6" i="22"/>
  <c r="H7" i="22"/>
  <c r="I4" i="22"/>
  <c r="I4" i="21"/>
  <c r="I7" i="21"/>
  <c r="I7" i="20"/>
  <c r="H4" i="20"/>
  <c r="H7" i="20"/>
  <c r="H8" i="17"/>
  <c r="I4" i="17"/>
  <c r="I4" i="18"/>
  <c r="I7" i="18"/>
  <c r="I4" i="12"/>
  <c r="I6" i="12"/>
  <c r="H4" i="13"/>
  <c r="J6" i="12"/>
  <c r="I4" i="13"/>
  <c r="I7" i="13"/>
  <c r="J4" i="12"/>
  <c r="H8" i="12"/>
  <c r="J8" i="12"/>
  <c r="I6" i="13"/>
  <c r="H7" i="13"/>
  <c r="I7" i="16"/>
  <c r="I6" i="17"/>
  <c r="H7" i="19"/>
  <c r="I8" i="12"/>
  <c r="H6" i="13"/>
  <c r="J6" i="13"/>
  <c r="H7" i="12"/>
  <c r="I8" i="16"/>
  <c r="J7" i="16"/>
  <c r="H8" i="16"/>
  <c r="H4" i="17"/>
  <c r="H6" i="17"/>
  <c r="I8" i="17"/>
  <c r="I6" i="18"/>
  <c r="H7" i="18"/>
  <c r="I7" i="19"/>
  <c r="I6" i="21"/>
  <c r="H7" i="21"/>
  <c r="H8" i="21"/>
  <c r="J4" i="22"/>
  <c r="H8" i="22"/>
  <c r="I6" i="23"/>
  <c r="H7" i="23"/>
  <c r="H8" i="23"/>
  <c r="I7" i="24"/>
  <c r="H8" i="24"/>
  <c r="J8" i="24"/>
  <c r="G4" i="24"/>
  <c r="G6" i="24"/>
  <c r="J4" i="24"/>
  <c r="J8" i="22"/>
  <c r="J7" i="22"/>
  <c r="J8" i="21"/>
  <c r="G4" i="21"/>
  <c r="G6" i="21"/>
  <c r="I8" i="20"/>
  <c r="J8" i="20"/>
  <c r="J4" i="20"/>
  <c r="J6" i="20"/>
  <c r="G6" i="20"/>
  <c r="I8" i="19"/>
  <c r="J8" i="19"/>
  <c r="G8" i="19"/>
  <c r="G4" i="19"/>
  <c r="G6" i="19"/>
  <c r="J4" i="19"/>
  <c r="J6" i="19"/>
  <c r="H8" i="18"/>
  <c r="I8" i="18"/>
  <c r="J8" i="18"/>
  <c r="G4" i="18"/>
  <c r="G6" i="18"/>
  <c r="J7" i="17"/>
  <c r="I7" i="17"/>
  <c r="I4" i="15"/>
  <c r="I6" i="15"/>
  <c r="I7" i="15"/>
  <c r="I4" i="16"/>
  <c r="J8" i="16"/>
  <c r="G7" i="15"/>
  <c r="H6" i="16"/>
  <c r="J4" i="16"/>
  <c r="J6" i="16"/>
  <c r="I6" i="16"/>
  <c r="H8" i="15"/>
  <c r="I8" i="15"/>
  <c r="J8" i="15"/>
  <c r="J4" i="15"/>
  <c r="J6" i="15"/>
  <c r="G6" i="15"/>
  <c r="G4" i="15"/>
  <c r="J8" i="13"/>
  <c r="G8" i="13"/>
  <c r="H8" i="13"/>
  <c r="I7" i="12"/>
  <c r="J7" i="12"/>
  <c r="I99" i="9"/>
  <c r="L99" i="9" s="1"/>
  <c r="I91" i="9"/>
  <c r="L91" i="9" s="1"/>
  <c r="G88" i="9"/>
  <c r="D88" i="9" s="1"/>
  <c r="E88" i="9"/>
  <c r="G87" i="9"/>
  <c r="E87" i="9"/>
  <c r="G86" i="9"/>
  <c r="C86" i="9" s="1"/>
  <c r="E86" i="9"/>
  <c r="D86" i="9"/>
  <c r="L101" i="1"/>
  <c r="A88" i="9" l="1"/>
  <c r="B88" i="9"/>
  <c r="B86" i="9"/>
  <c r="C88" i="9"/>
  <c r="A86" i="9"/>
  <c r="I39" i="9" l="1"/>
  <c r="L21" i="9"/>
  <c r="I12" i="9"/>
  <c r="I81" i="9"/>
  <c r="I60" i="9"/>
  <c r="I70" i="1"/>
  <c r="G8" i="11"/>
  <c r="C8" i="11"/>
  <c r="G4" i="11"/>
  <c r="C4" i="11"/>
  <c r="I54" i="1"/>
  <c r="G8" i="10"/>
  <c r="C8" i="10"/>
  <c r="G7" i="10"/>
  <c r="C7" i="10"/>
  <c r="G6" i="10"/>
  <c r="C6" i="10"/>
  <c r="G4" i="10"/>
  <c r="C4" i="10"/>
  <c r="H8" i="10" l="1"/>
  <c r="I8" i="10"/>
  <c r="J8" i="10"/>
  <c r="H8" i="11"/>
  <c r="I8" i="11"/>
  <c r="J8" i="11"/>
  <c r="H4" i="11"/>
  <c r="I4" i="11"/>
  <c r="J4" i="11"/>
  <c r="H7" i="10"/>
  <c r="I7" i="10"/>
  <c r="J7" i="10"/>
  <c r="H6" i="10"/>
  <c r="I6" i="10"/>
  <c r="J6" i="10"/>
  <c r="I4" i="10"/>
  <c r="J4" i="10"/>
  <c r="H4" i="10"/>
  <c r="L39" i="9"/>
  <c r="J10" i="1" l="1"/>
  <c r="I12" i="1"/>
  <c r="K54" i="1" l="1"/>
  <c r="F5" i="26"/>
  <c r="E5" i="26"/>
  <c r="D5" i="26"/>
  <c r="F5" i="25"/>
  <c r="E5" i="25"/>
  <c r="D5" i="25"/>
  <c r="D17" i="16" l="1"/>
  <c r="E17" i="16"/>
  <c r="F17" i="16"/>
  <c r="D18" i="16"/>
  <c r="E18" i="16"/>
  <c r="F18" i="16"/>
  <c r="E16" i="16"/>
  <c r="D16" i="16"/>
  <c r="D13" i="16"/>
  <c r="E13" i="16"/>
  <c r="F13" i="16"/>
  <c r="D14" i="16"/>
  <c r="E14" i="16"/>
  <c r="F14" i="16"/>
  <c r="D15" i="16"/>
  <c r="E15" i="16"/>
  <c r="F15" i="16"/>
  <c r="F12" i="16"/>
  <c r="E12" i="16"/>
  <c r="D12" i="16"/>
  <c r="F5" i="11"/>
  <c r="E5" i="11"/>
  <c r="D5" i="11"/>
  <c r="G68" i="9"/>
  <c r="A68" i="9" s="1"/>
  <c r="G70" i="9"/>
  <c r="A70" i="9" s="1"/>
  <c r="C5" i="25"/>
  <c r="C6" i="25"/>
  <c r="C7" i="25"/>
  <c r="C8" i="25"/>
  <c r="E68" i="9"/>
  <c r="E70" i="9"/>
  <c r="G47" i="9"/>
  <c r="A47" i="9" s="1"/>
  <c r="G49" i="9"/>
  <c r="A49" i="9" s="1"/>
  <c r="C5" i="26"/>
  <c r="C6" i="26"/>
  <c r="C7" i="26"/>
  <c r="C8" i="26"/>
  <c r="E47" i="9"/>
  <c r="E49" i="9"/>
  <c r="F5" i="10"/>
  <c r="E5" i="10"/>
  <c r="D5" i="10"/>
  <c r="C4" i="25"/>
  <c r="C4" i="26"/>
  <c r="H4" i="25" l="1"/>
  <c r="H8" i="25"/>
  <c r="I7" i="25"/>
  <c r="I6" i="25"/>
  <c r="G6" i="25"/>
  <c r="J6" i="25"/>
  <c r="I5" i="26"/>
  <c r="I4" i="26"/>
  <c r="H4" i="26"/>
  <c r="G4" i="26"/>
  <c r="J4" i="26"/>
  <c r="G6" i="26"/>
  <c r="J6" i="26"/>
  <c r="I6" i="26"/>
  <c r="H6" i="26"/>
  <c r="G8" i="25"/>
  <c r="J8" i="25"/>
  <c r="I8" i="25"/>
  <c r="G4" i="25"/>
  <c r="J4" i="25"/>
  <c r="I4" i="25"/>
  <c r="H7" i="25"/>
  <c r="G7" i="25"/>
  <c r="J5" i="25"/>
  <c r="H5" i="25"/>
  <c r="H6" i="25"/>
  <c r="J7" i="26"/>
  <c r="H7" i="26"/>
  <c r="G7" i="26"/>
  <c r="H8" i="26"/>
  <c r="G8" i="26"/>
  <c r="J8" i="26"/>
  <c r="I8" i="26"/>
  <c r="G5" i="26"/>
  <c r="H5" i="26"/>
  <c r="J5" i="26"/>
  <c r="D47" i="9"/>
  <c r="I7" i="26"/>
  <c r="D49" i="9"/>
  <c r="B49" i="9"/>
  <c r="G5" i="25"/>
  <c r="D68" i="9"/>
  <c r="I5" i="25"/>
  <c r="B68" i="9"/>
  <c r="B70" i="9"/>
  <c r="B47" i="9"/>
  <c r="D70" i="9"/>
  <c r="C49" i="9"/>
  <c r="C47" i="9"/>
  <c r="C70" i="9"/>
  <c r="C68" i="9"/>
  <c r="J7" i="25"/>
  <c r="C18" i="25"/>
  <c r="C17" i="25"/>
  <c r="C16" i="25"/>
  <c r="C15" i="25"/>
  <c r="H14" i="25"/>
  <c r="C14" i="25"/>
  <c r="C13" i="25"/>
  <c r="C12" i="25"/>
  <c r="C18" i="26"/>
  <c r="C17" i="26"/>
  <c r="C16" i="26"/>
  <c r="C15" i="26"/>
  <c r="C14" i="26"/>
  <c r="C13" i="26"/>
  <c r="C12" i="26"/>
  <c r="G38" i="9"/>
  <c r="G18" i="16"/>
  <c r="C18" i="16"/>
  <c r="G17" i="16"/>
  <c r="C17" i="16"/>
  <c r="H16" i="16"/>
  <c r="C16" i="16"/>
  <c r="C15" i="16"/>
  <c r="G14" i="16"/>
  <c r="C14" i="16"/>
  <c r="H13" i="16"/>
  <c r="C13" i="16"/>
  <c r="G12" i="16"/>
  <c r="C12" i="16"/>
  <c r="H7" i="11"/>
  <c r="C7" i="11"/>
  <c r="C6" i="11"/>
  <c r="H5" i="11"/>
  <c r="C5" i="11"/>
  <c r="K38" i="1"/>
  <c r="K29" i="1"/>
  <c r="K12" i="1"/>
  <c r="I21" i="1"/>
  <c r="L12" i="9"/>
  <c r="J16" i="1"/>
  <c r="L60" i="9"/>
  <c r="D13" i="26"/>
  <c r="E13" i="26"/>
  <c r="F13" i="26"/>
  <c r="D14" i="26"/>
  <c r="E14" i="26"/>
  <c r="F14" i="26"/>
  <c r="D15" i="26"/>
  <c r="E15" i="26"/>
  <c r="F15" i="26"/>
  <c r="D16" i="26"/>
  <c r="E16" i="26"/>
  <c r="F16" i="26"/>
  <c r="D17" i="26"/>
  <c r="E17" i="26"/>
  <c r="F17" i="26"/>
  <c r="D18" i="26"/>
  <c r="E18" i="26"/>
  <c r="F18" i="26"/>
  <c r="F12" i="26"/>
  <c r="E12" i="26"/>
  <c r="D12" i="26"/>
  <c r="G79" i="9"/>
  <c r="A79" i="9" s="1"/>
  <c r="G80" i="9"/>
  <c r="B80" i="9" s="1"/>
  <c r="E79" i="9"/>
  <c r="E80" i="9"/>
  <c r="D13" i="25"/>
  <c r="E13" i="25"/>
  <c r="F13" i="25"/>
  <c r="D14" i="25"/>
  <c r="E14" i="25"/>
  <c r="F14" i="25"/>
  <c r="D15" i="25"/>
  <c r="E15" i="25"/>
  <c r="F15" i="25"/>
  <c r="D16" i="25"/>
  <c r="E16" i="25"/>
  <c r="F16" i="25"/>
  <c r="D17" i="25"/>
  <c r="E17" i="25"/>
  <c r="F17" i="25"/>
  <c r="D18" i="25"/>
  <c r="E18" i="25"/>
  <c r="F18" i="25"/>
  <c r="F12" i="25"/>
  <c r="E12" i="25"/>
  <c r="D12" i="25"/>
  <c r="F5" i="22"/>
  <c r="E5" i="22"/>
  <c r="D5" i="22"/>
  <c r="E58" i="9"/>
  <c r="G58" i="9"/>
  <c r="B58" i="9" s="1"/>
  <c r="I17" i="25" l="1"/>
  <c r="H17" i="25"/>
  <c r="J15" i="25"/>
  <c r="I15" i="25"/>
  <c r="J16" i="25"/>
  <c r="I16" i="25"/>
  <c r="H16" i="25"/>
  <c r="J18" i="25"/>
  <c r="I18" i="25"/>
  <c r="H18" i="25"/>
  <c r="J17" i="25"/>
  <c r="G17" i="25"/>
  <c r="G16" i="25"/>
  <c r="G13" i="25"/>
  <c r="J13" i="25"/>
  <c r="H13" i="25"/>
  <c r="J16" i="26"/>
  <c r="J17" i="26"/>
  <c r="H15" i="25"/>
  <c r="I12" i="16"/>
  <c r="I13" i="26"/>
  <c r="J12" i="26"/>
  <c r="H16" i="21"/>
  <c r="G18" i="26"/>
  <c r="J18" i="26"/>
  <c r="J5" i="11"/>
  <c r="G6" i="11"/>
  <c r="H6" i="11"/>
  <c r="H17" i="20"/>
  <c r="J7" i="11"/>
  <c r="J14" i="26"/>
  <c r="H12" i="25"/>
  <c r="I12" i="25"/>
  <c r="H15" i="16"/>
  <c r="I15" i="16"/>
  <c r="I15" i="26"/>
  <c r="I13" i="25"/>
  <c r="J12" i="25"/>
  <c r="H16" i="26"/>
  <c r="H12" i="26"/>
  <c r="H14" i="26"/>
  <c r="I16" i="26"/>
  <c r="I5" i="11"/>
  <c r="I12" i="26"/>
  <c r="I17" i="26"/>
  <c r="H18" i="26"/>
  <c r="J15" i="26"/>
  <c r="I18" i="26"/>
  <c r="J13" i="26"/>
  <c r="G13" i="26"/>
  <c r="I14" i="26"/>
  <c r="J14" i="25"/>
  <c r="G14" i="25"/>
  <c r="I18" i="24"/>
  <c r="H18" i="24"/>
  <c r="I16" i="17"/>
  <c r="H17" i="16"/>
  <c r="H18" i="16"/>
  <c r="I16" i="16"/>
  <c r="I17" i="16"/>
  <c r="I18" i="16"/>
  <c r="H12" i="16"/>
  <c r="I13" i="16"/>
  <c r="I18" i="20"/>
  <c r="J16" i="19"/>
  <c r="J15" i="16"/>
  <c r="G16" i="16"/>
  <c r="J13" i="16"/>
  <c r="H14" i="16"/>
  <c r="J18" i="16"/>
  <c r="G13" i="16"/>
  <c r="I14" i="16"/>
  <c r="G15" i="16"/>
  <c r="J16" i="16"/>
  <c r="J12" i="16"/>
  <c r="J14" i="16"/>
  <c r="J17" i="16"/>
  <c r="I7" i="11"/>
  <c r="G7" i="11"/>
  <c r="G5" i="11"/>
  <c r="I6" i="11"/>
  <c r="J6" i="11"/>
  <c r="C79" i="9"/>
  <c r="D79" i="9"/>
  <c r="C80" i="9"/>
  <c r="A80" i="9"/>
  <c r="B79" i="9"/>
  <c r="D80" i="9"/>
  <c r="I16" i="20"/>
  <c r="C58" i="9"/>
  <c r="A58" i="9"/>
  <c r="H17" i="26"/>
  <c r="G16" i="26"/>
  <c r="H15" i="26"/>
  <c r="G14" i="26"/>
  <c r="H13" i="26"/>
  <c r="G12" i="26"/>
  <c r="I14" i="25"/>
  <c r="G12" i="25"/>
  <c r="D58" i="9"/>
  <c r="G17" i="26"/>
  <c r="G15" i="26"/>
  <c r="G15" i="25"/>
  <c r="G18" i="25"/>
  <c r="N32" i="9"/>
  <c r="L30" i="9"/>
  <c r="C16" i="24"/>
  <c r="C16" i="23"/>
  <c r="C16" i="22"/>
  <c r="H16" i="18"/>
  <c r="C16" i="18"/>
  <c r="C17" i="20"/>
  <c r="K70" i="1"/>
  <c r="D17" i="24"/>
  <c r="E17" i="24"/>
  <c r="F17" i="24"/>
  <c r="D18" i="24"/>
  <c r="E18" i="24"/>
  <c r="F18" i="24"/>
  <c r="F16" i="24"/>
  <c r="E16" i="24"/>
  <c r="D16" i="24"/>
  <c r="D17" i="23"/>
  <c r="E17" i="23"/>
  <c r="F17" i="23"/>
  <c r="D18" i="23"/>
  <c r="E18" i="23"/>
  <c r="F18" i="23"/>
  <c r="F16" i="23"/>
  <c r="E16" i="23"/>
  <c r="D16" i="23"/>
  <c r="D17" i="21"/>
  <c r="E17" i="21"/>
  <c r="F17" i="21"/>
  <c r="D18" i="21"/>
  <c r="E18" i="21"/>
  <c r="F18" i="21"/>
  <c r="F16" i="21"/>
  <c r="E16" i="21"/>
  <c r="D16" i="21"/>
  <c r="D17" i="22"/>
  <c r="E17" i="22"/>
  <c r="F17" i="22"/>
  <c r="D18" i="22"/>
  <c r="E18" i="22"/>
  <c r="F18" i="22"/>
  <c r="F16" i="22"/>
  <c r="E16" i="22"/>
  <c r="D16" i="22"/>
  <c r="D17" i="20"/>
  <c r="E17" i="20"/>
  <c r="F17" i="20"/>
  <c r="D18" i="20"/>
  <c r="E18" i="20"/>
  <c r="F18" i="20"/>
  <c r="F16" i="20"/>
  <c r="E16" i="20"/>
  <c r="D16" i="20"/>
  <c r="D17" i="19"/>
  <c r="E17" i="19"/>
  <c r="F17" i="19"/>
  <c r="D18" i="19"/>
  <c r="E18" i="19"/>
  <c r="F18" i="19"/>
  <c r="F16" i="19"/>
  <c r="E16" i="19"/>
  <c r="D16" i="19"/>
  <c r="D17" i="18"/>
  <c r="E17" i="18"/>
  <c r="F17" i="18"/>
  <c r="D18" i="18"/>
  <c r="E18" i="18"/>
  <c r="F18" i="18"/>
  <c r="E16" i="18"/>
  <c r="D16" i="18"/>
  <c r="D17" i="17"/>
  <c r="E17" i="17"/>
  <c r="F17" i="17"/>
  <c r="D18" i="17"/>
  <c r="E18" i="17"/>
  <c r="F18" i="17"/>
  <c r="F16" i="17"/>
  <c r="E16" i="17"/>
  <c r="D16" i="17"/>
  <c r="L81" i="9"/>
  <c r="C16" i="20"/>
  <c r="C18" i="20"/>
  <c r="C17" i="18"/>
  <c r="C18" i="18"/>
  <c r="H18" i="18"/>
  <c r="C16" i="21"/>
  <c r="C16" i="17"/>
  <c r="C16" i="19"/>
  <c r="H16" i="22"/>
  <c r="C17" i="24"/>
  <c r="C18" i="24"/>
  <c r="F16" i="18" l="1"/>
  <c r="F16" i="16"/>
  <c r="J17" i="24"/>
  <c r="G17" i="24"/>
  <c r="H16" i="19"/>
  <c r="J16" i="24"/>
  <c r="I17" i="24"/>
  <c r="G16" i="23"/>
  <c r="I16" i="23"/>
  <c r="G16" i="21"/>
  <c r="J16" i="17"/>
  <c r="J16" i="18"/>
  <c r="I17" i="18"/>
  <c r="G16" i="18"/>
  <c r="G17" i="18"/>
  <c r="G16" i="19"/>
  <c r="I17" i="20"/>
  <c r="G17" i="20"/>
  <c r="G18" i="24"/>
  <c r="H17" i="24"/>
  <c r="H16" i="23"/>
  <c r="J16" i="23"/>
  <c r="J17" i="20"/>
  <c r="I16" i="24"/>
  <c r="H16" i="24"/>
  <c r="J18" i="24"/>
  <c r="G16" i="24"/>
  <c r="G16" i="22"/>
  <c r="I16" i="22"/>
  <c r="J16" i="22"/>
  <c r="I16" i="21"/>
  <c r="J16" i="21"/>
  <c r="H16" i="17"/>
  <c r="G18" i="18"/>
  <c r="I18" i="18"/>
  <c r="J17" i="18"/>
  <c r="H17" i="18"/>
  <c r="I16" i="18"/>
  <c r="G16" i="17"/>
  <c r="J18" i="18"/>
  <c r="I16" i="19"/>
  <c r="J18" i="20"/>
  <c r="H18" i="20"/>
  <c r="J16" i="20"/>
  <c r="H16" i="20"/>
  <c r="G18" i="20"/>
  <c r="G16" i="20"/>
  <c r="G18" i="23"/>
  <c r="C18" i="23"/>
  <c r="C17" i="23"/>
  <c r="G18" i="22"/>
  <c r="C18" i="22"/>
  <c r="H17" i="22"/>
  <c r="C17" i="22"/>
  <c r="G17" i="22"/>
  <c r="J5" i="22"/>
  <c r="C5" i="22"/>
  <c r="I18" i="21"/>
  <c r="C18" i="21"/>
  <c r="G17" i="21"/>
  <c r="C17" i="21"/>
  <c r="G18" i="19"/>
  <c r="C18" i="19"/>
  <c r="H17" i="19"/>
  <c r="C17" i="19"/>
  <c r="J17" i="19"/>
  <c r="G18" i="17"/>
  <c r="C18" i="17"/>
  <c r="G17" i="17"/>
  <c r="C17" i="17"/>
  <c r="I93" i="1"/>
  <c r="L93" i="1" s="1"/>
  <c r="L78" i="1"/>
  <c r="H5" i="10"/>
  <c r="C5" i="10"/>
  <c r="G83" i="9"/>
  <c r="I81" i="1"/>
  <c r="I18" i="23" l="1"/>
  <c r="I18" i="19"/>
  <c r="I17" i="22"/>
  <c r="H18" i="23"/>
  <c r="J17" i="22"/>
  <c r="H17" i="17"/>
  <c r="G5" i="22"/>
  <c r="H17" i="21"/>
  <c r="H18" i="22"/>
  <c r="I17" i="19"/>
  <c r="H18" i="19"/>
  <c r="G17" i="23"/>
  <c r="J17" i="23"/>
  <c r="I17" i="23"/>
  <c r="H18" i="21"/>
  <c r="G18" i="21"/>
  <c r="J18" i="21"/>
  <c r="H17" i="23"/>
  <c r="H5" i="22"/>
  <c r="J18" i="23"/>
  <c r="I17" i="21"/>
  <c r="J17" i="21"/>
  <c r="J18" i="19"/>
  <c r="J18" i="22"/>
  <c r="I18" i="22"/>
  <c r="I5" i="22"/>
  <c r="G17" i="19"/>
  <c r="I17" i="17"/>
  <c r="H18" i="17"/>
  <c r="J17" i="17"/>
  <c r="I18" i="17"/>
  <c r="J18" i="17"/>
  <c r="J5" i="10"/>
  <c r="I5" i="10"/>
  <c r="G5" i="10"/>
  <c r="D13" i="21" l="1"/>
  <c r="E13" i="21"/>
  <c r="F13" i="21"/>
  <c r="D14" i="21"/>
  <c r="E14" i="21"/>
  <c r="F14" i="21"/>
  <c r="D15" i="21"/>
  <c r="E15" i="21"/>
  <c r="F15" i="21"/>
  <c r="F12" i="21"/>
  <c r="E12" i="21"/>
  <c r="D12" i="21"/>
  <c r="D13" i="23"/>
  <c r="E13" i="23"/>
  <c r="F13" i="23"/>
  <c r="D14" i="23"/>
  <c r="E14" i="23"/>
  <c r="F14" i="23"/>
  <c r="D15" i="23"/>
  <c r="E15" i="23"/>
  <c r="F15" i="23"/>
  <c r="F12" i="23"/>
  <c r="E12" i="23"/>
  <c r="D12" i="23"/>
  <c r="C15" i="23" l="1"/>
  <c r="G15" i="23"/>
  <c r="J15" i="23"/>
  <c r="I15" i="23"/>
  <c r="H15" i="23"/>
  <c r="H14" i="23"/>
  <c r="C14" i="23"/>
  <c r="I14" i="23"/>
  <c r="J13" i="23"/>
  <c r="C13" i="23"/>
  <c r="I13" i="23"/>
  <c r="H12" i="23"/>
  <c r="C12" i="23"/>
  <c r="J12" i="23"/>
  <c r="C15" i="21"/>
  <c r="G15" i="21"/>
  <c r="J15" i="21"/>
  <c r="I15" i="21"/>
  <c r="H15" i="21"/>
  <c r="H14" i="21"/>
  <c r="C14" i="21"/>
  <c r="J14" i="21"/>
  <c r="G13" i="21"/>
  <c r="C13" i="21"/>
  <c r="I13" i="21"/>
  <c r="H13" i="21"/>
  <c r="H12" i="21"/>
  <c r="C12" i="21"/>
  <c r="G12" i="21"/>
  <c r="F134" i="9"/>
  <c r="F133" i="9"/>
  <c r="H13" i="23" l="1"/>
  <c r="I12" i="21"/>
  <c r="J12" i="21"/>
  <c r="I14" i="21"/>
  <c r="I12" i="23"/>
  <c r="G14" i="21"/>
  <c r="G13" i="23"/>
  <c r="J14" i="23"/>
  <c r="G12" i="23"/>
  <c r="G14" i="23"/>
  <c r="J13" i="21"/>
  <c r="J1" i="31" l="1"/>
  <c r="J1" i="30"/>
  <c r="I84" i="1" l="1"/>
  <c r="D13" i="31" l="1"/>
  <c r="E13" i="31"/>
  <c r="F13" i="31"/>
  <c r="D14" i="31"/>
  <c r="E14" i="31"/>
  <c r="F14" i="31"/>
  <c r="C15" i="31"/>
  <c r="D15" i="31"/>
  <c r="E15" i="31"/>
  <c r="F15" i="31"/>
  <c r="G15" i="31"/>
  <c r="H15" i="31"/>
  <c r="I15" i="31"/>
  <c r="J15" i="31"/>
  <c r="D16" i="31"/>
  <c r="E16" i="31"/>
  <c r="F16" i="31"/>
  <c r="D17" i="31"/>
  <c r="E17" i="31"/>
  <c r="F17" i="31"/>
  <c r="D18" i="31"/>
  <c r="E18" i="31"/>
  <c r="F18" i="31"/>
  <c r="C19" i="31"/>
  <c r="D19" i="31"/>
  <c r="E19" i="31"/>
  <c r="F19" i="31"/>
  <c r="G19" i="31"/>
  <c r="H19" i="31"/>
  <c r="I19" i="31"/>
  <c r="J19" i="31"/>
  <c r="D20" i="31"/>
  <c r="E20" i="31"/>
  <c r="F20" i="31"/>
  <c r="F12" i="31"/>
  <c r="E12" i="31"/>
  <c r="D12" i="31"/>
  <c r="F8" i="31"/>
  <c r="E8" i="31"/>
  <c r="D8" i="31"/>
  <c r="I7" i="31"/>
  <c r="J7" i="31"/>
  <c r="H7" i="31"/>
  <c r="G7" i="31"/>
  <c r="F7" i="31"/>
  <c r="E7" i="31"/>
  <c r="D7" i="31"/>
  <c r="C7" i="31"/>
  <c r="F6" i="31"/>
  <c r="E6" i="31"/>
  <c r="D6" i="31"/>
  <c r="F5" i="31"/>
  <c r="E5" i="31"/>
  <c r="D5" i="31"/>
  <c r="F4" i="31"/>
  <c r="E4" i="31"/>
  <c r="D4" i="31"/>
  <c r="D20" i="30"/>
  <c r="E20" i="30"/>
  <c r="F20" i="30"/>
  <c r="D19" i="30"/>
  <c r="E19" i="30"/>
  <c r="F19" i="30"/>
  <c r="D13" i="30"/>
  <c r="E13" i="30"/>
  <c r="F13" i="30"/>
  <c r="D14" i="30"/>
  <c r="E14" i="30"/>
  <c r="F14" i="30"/>
  <c r="C15" i="30"/>
  <c r="D15" i="30"/>
  <c r="E15" i="30"/>
  <c r="F15" i="30"/>
  <c r="G15" i="30"/>
  <c r="H15" i="30"/>
  <c r="I15" i="30"/>
  <c r="J15" i="30"/>
  <c r="D16" i="30"/>
  <c r="E16" i="30"/>
  <c r="F16" i="30"/>
  <c r="D17" i="30"/>
  <c r="E17" i="30"/>
  <c r="F17" i="30"/>
  <c r="D18" i="30"/>
  <c r="E18" i="30"/>
  <c r="F18" i="30"/>
  <c r="F12" i="30"/>
  <c r="E12" i="30"/>
  <c r="D12" i="30"/>
  <c r="I7" i="30"/>
  <c r="J7" i="30"/>
  <c r="H7" i="30"/>
  <c r="G7" i="30"/>
  <c r="F7" i="30"/>
  <c r="E7" i="30"/>
  <c r="D7" i="30"/>
  <c r="C7" i="30"/>
  <c r="F8" i="30"/>
  <c r="E8" i="30"/>
  <c r="D8" i="30"/>
  <c r="F6" i="30"/>
  <c r="E6" i="30"/>
  <c r="D6" i="30"/>
  <c r="F5" i="30"/>
  <c r="E5" i="30"/>
  <c r="D5" i="30"/>
  <c r="D4" i="30"/>
  <c r="F4" i="30"/>
  <c r="E4" i="30"/>
  <c r="G20" i="31" l="1"/>
  <c r="C20" i="31"/>
  <c r="H18" i="31"/>
  <c r="C18" i="31"/>
  <c r="G17" i="31"/>
  <c r="C17" i="31"/>
  <c r="H16" i="31"/>
  <c r="C16" i="31"/>
  <c r="G14" i="31"/>
  <c r="C14" i="31"/>
  <c r="H13" i="31"/>
  <c r="C13" i="31"/>
  <c r="G12" i="31"/>
  <c r="C12" i="31"/>
  <c r="G5" i="31"/>
  <c r="C5" i="31"/>
  <c r="H8" i="31"/>
  <c r="C8" i="31"/>
  <c r="H4" i="31"/>
  <c r="C4" i="31"/>
  <c r="H6" i="31"/>
  <c r="C6" i="31"/>
  <c r="H20" i="30"/>
  <c r="C20" i="30"/>
  <c r="J19" i="30"/>
  <c r="C19" i="30"/>
  <c r="H18" i="30"/>
  <c r="C18" i="30"/>
  <c r="J17" i="30"/>
  <c r="C17" i="30"/>
  <c r="H16" i="30"/>
  <c r="C16" i="30"/>
  <c r="J14" i="30"/>
  <c r="C14" i="30"/>
  <c r="H13" i="30"/>
  <c r="C13" i="30"/>
  <c r="J12" i="30"/>
  <c r="C12" i="30"/>
  <c r="H5" i="30"/>
  <c r="C5" i="30"/>
  <c r="G8" i="30"/>
  <c r="C8" i="30"/>
  <c r="H4" i="30"/>
  <c r="C4" i="30"/>
  <c r="G6" i="30"/>
  <c r="C6" i="30"/>
  <c r="I8" i="31" l="1"/>
  <c r="I12" i="30"/>
  <c r="H8" i="30"/>
  <c r="G19" i="30"/>
  <c r="H17" i="31"/>
  <c r="I4" i="31"/>
  <c r="G4" i="31"/>
  <c r="J16" i="31"/>
  <c r="I5" i="30"/>
  <c r="I12" i="31"/>
  <c r="J4" i="30"/>
  <c r="I14" i="30"/>
  <c r="I14" i="31"/>
  <c r="I6" i="30"/>
  <c r="I17" i="30"/>
  <c r="J5" i="31"/>
  <c r="G13" i="31"/>
  <c r="I18" i="31"/>
  <c r="H6" i="30"/>
  <c r="I4" i="30"/>
  <c r="I19" i="30"/>
  <c r="I5" i="31"/>
  <c r="H12" i="31"/>
  <c r="I13" i="31"/>
  <c r="H19" i="30"/>
  <c r="J4" i="31"/>
  <c r="J13" i="31"/>
  <c r="H14" i="31"/>
  <c r="I16" i="31"/>
  <c r="G5" i="30"/>
  <c r="G12" i="30"/>
  <c r="G14" i="30"/>
  <c r="G17" i="30"/>
  <c r="I20" i="30"/>
  <c r="I6" i="31"/>
  <c r="H5" i="31"/>
  <c r="G18" i="31"/>
  <c r="I20" i="31"/>
  <c r="H12" i="30"/>
  <c r="H14" i="30"/>
  <c r="H17" i="30"/>
  <c r="G4" i="30"/>
  <c r="I8" i="30"/>
  <c r="J5" i="30"/>
  <c r="I18" i="30"/>
  <c r="G16" i="31"/>
  <c r="I17" i="31"/>
  <c r="J18" i="31"/>
  <c r="H20" i="31"/>
  <c r="J13" i="30"/>
  <c r="J16" i="30"/>
  <c r="J18" i="30"/>
  <c r="J20" i="30"/>
  <c r="J6" i="31"/>
  <c r="J8" i="31"/>
  <c r="I13" i="30"/>
  <c r="I16" i="30"/>
  <c r="J6" i="30"/>
  <c r="J8" i="30"/>
  <c r="G13" i="30"/>
  <c r="G16" i="30"/>
  <c r="G18" i="30"/>
  <c r="G20" i="30"/>
  <c r="G6" i="31"/>
  <c r="G8" i="31"/>
  <c r="J12" i="31"/>
  <c r="J14" i="31"/>
  <c r="J17" i="31"/>
  <c r="J20" i="31"/>
  <c r="K32" i="1" l="1"/>
  <c r="D12" i="24" l="1"/>
  <c r="D12" i="22"/>
  <c r="D12" i="20"/>
  <c r="D12" i="19"/>
  <c r="D12" i="18"/>
  <c r="D12" i="17"/>
  <c r="D12" i="15"/>
  <c r="D12" i="13"/>
  <c r="D12" i="12"/>
  <c r="D12" i="11"/>
  <c r="D12" i="10"/>
  <c r="K21" i="1" l="1"/>
  <c r="J13" i="20" l="1"/>
  <c r="J14" i="22"/>
  <c r="J12" i="24"/>
  <c r="J5" i="24"/>
  <c r="J14" i="20"/>
  <c r="G5" i="24"/>
  <c r="J5" i="21"/>
  <c r="J12" i="18"/>
  <c r="J5" i="17"/>
  <c r="J15" i="17"/>
  <c r="G5" i="18"/>
  <c r="J5" i="12"/>
  <c r="G18" i="13"/>
  <c r="G12" i="13"/>
  <c r="G14" i="13"/>
  <c r="G16" i="13"/>
  <c r="F5" i="24"/>
  <c r="E5" i="24"/>
  <c r="D5" i="24"/>
  <c r="F5" i="23"/>
  <c r="E5" i="23"/>
  <c r="D5" i="23"/>
  <c r="F5" i="20"/>
  <c r="E5" i="20"/>
  <c r="D5" i="20"/>
  <c r="F5" i="18"/>
  <c r="E5" i="18"/>
  <c r="D5" i="18"/>
  <c r="F5" i="16"/>
  <c r="E5" i="16"/>
  <c r="D5" i="16"/>
  <c r="J5" i="20"/>
  <c r="C5" i="20"/>
  <c r="J5" i="18"/>
  <c r="C5" i="18"/>
  <c r="J5" i="16"/>
  <c r="C5" i="16"/>
  <c r="C5" i="13"/>
  <c r="F5" i="13"/>
  <c r="E5" i="13"/>
  <c r="D5" i="13"/>
  <c r="F5" i="19"/>
  <c r="E5" i="19"/>
  <c r="D5" i="19"/>
  <c r="F5" i="17"/>
  <c r="E5" i="17"/>
  <c r="D5" i="17"/>
  <c r="F5" i="15"/>
  <c r="E5" i="15"/>
  <c r="D5" i="15"/>
  <c r="F5" i="12"/>
  <c r="E5" i="12"/>
  <c r="D5" i="12"/>
  <c r="C5" i="24"/>
  <c r="J5" i="23"/>
  <c r="C5" i="23"/>
  <c r="C5" i="21"/>
  <c r="J5" i="19"/>
  <c r="C5" i="19"/>
  <c r="C5" i="17"/>
  <c r="J5" i="15"/>
  <c r="C5" i="15"/>
  <c r="C5" i="12"/>
  <c r="F15" i="24"/>
  <c r="E15" i="24"/>
  <c r="D15" i="24"/>
  <c r="F14" i="24"/>
  <c r="E14" i="24"/>
  <c r="D14" i="24"/>
  <c r="F13" i="24"/>
  <c r="E13" i="24"/>
  <c r="D13" i="24"/>
  <c r="F12" i="24"/>
  <c r="E12" i="24"/>
  <c r="F15" i="22"/>
  <c r="E15" i="22"/>
  <c r="D15" i="22"/>
  <c r="F14" i="22"/>
  <c r="E14" i="22"/>
  <c r="D14" i="22"/>
  <c r="F13" i="22"/>
  <c r="E13" i="22"/>
  <c r="D13" i="22"/>
  <c r="F12" i="22"/>
  <c r="E12" i="22"/>
  <c r="F5" i="21"/>
  <c r="E5" i="21"/>
  <c r="D5" i="21"/>
  <c r="F15" i="20"/>
  <c r="E15" i="20"/>
  <c r="D15" i="20"/>
  <c r="F14" i="20"/>
  <c r="E14" i="20"/>
  <c r="D14" i="20"/>
  <c r="F13" i="20"/>
  <c r="E13" i="20"/>
  <c r="D13" i="20"/>
  <c r="F12" i="20"/>
  <c r="E12" i="20"/>
  <c r="F15" i="19"/>
  <c r="E15" i="19"/>
  <c r="D15" i="19"/>
  <c r="F14" i="19"/>
  <c r="E14" i="19"/>
  <c r="D14" i="19"/>
  <c r="F13" i="19"/>
  <c r="E13" i="19"/>
  <c r="D13" i="19"/>
  <c r="F12" i="19"/>
  <c r="E12" i="19"/>
  <c r="F15" i="18"/>
  <c r="E15" i="18"/>
  <c r="D15" i="18"/>
  <c r="F14" i="18"/>
  <c r="E14" i="18"/>
  <c r="D14" i="18"/>
  <c r="F13" i="18"/>
  <c r="E13" i="18"/>
  <c r="D13" i="18"/>
  <c r="F12" i="18"/>
  <c r="E12" i="18"/>
  <c r="F15" i="17"/>
  <c r="E15" i="17"/>
  <c r="D15" i="17"/>
  <c r="F14" i="17"/>
  <c r="E14" i="17"/>
  <c r="D14" i="17"/>
  <c r="F13" i="17"/>
  <c r="E13" i="17"/>
  <c r="D13" i="17"/>
  <c r="F12" i="17"/>
  <c r="E12" i="17"/>
  <c r="F18" i="15"/>
  <c r="E18" i="15"/>
  <c r="D18" i="15"/>
  <c r="F17" i="15"/>
  <c r="E17" i="15"/>
  <c r="D17" i="15"/>
  <c r="F16" i="15"/>
  <c r="E16" i="15"/>
  <c r="D16" i="15"/>
  <c r="F15" i="15"/>
  <c r="E15" i="15"/>
  <c r="D15" i="15"/>
  <c r="F14" i="15"/>
  <c r="E14" i="15"/>
  <c r="D14" i="15"/>
  <c r="F13" i="15"/>
  <c r="E13" i="15"/>
  <c r="D13" i="15"/>
  <c r="F12" i="15"/>
  <c r="E12" i="15"/>
  <c r="F18" i="13"/>
  <c r="E18" i="13"/>
  <c r="D18" i="13"/>
  <c r="F17" i="13"/>
  <c r="E17" i="13"/>
  <c r="D17" i="13"/>
  <c r="F16" i="13"/>
  <c r="E16" i="13"/>
  <c r="D16" i="13"/>
  <c r="F15" i="13"/>
  <c r="E15" i="13"/>
  <c r="D15" i="13"/>
  <c r="F14" i="13"/>
  <c r="E14" i="13"/>
  <c r="D14" i="13"/>
  <c r="F13" i="13"/>
  <c r="E13" i="13"/>
  <c r="D13" i="13"/>
  <c r="F12" i="13"/>
  <c r="E12" i="13"/>
  <c r="F18" i="12"/>
  <c r="E18" i="12"/>
  <c r="D18" i="12"/>
  <c r="F17" i="12"/>
  <c r="E17" i="12"/>
  <c r="D17" i="12"/>
  <c r="F16" i="12"/>
  <c r="E16" i="12"/>
  <c r="D16" i="12"/>
  <c r="F15" i="12"/>
  <c r="E15" i="12"/>
  <c r="D15" i="12"/>
  <c r="F14" i="12"/>
  <c r="E14" i="12"/>
  <c r="D14" i="12"/>
  <c r="F13" i="12"/>
  <c r="E13" i="12"/>
  <c r="D13" i="12"/>
  <c r="F12" i="12"/>
  <c r="E12" i="12"/>
  <c r="F18" i="11"/>
  <c r="E18" i="11"/>
  <c r="D18" i="11"/>
  <c r="F17" i="11"/>
  <c r="E17" i="11"/>
  <c r="D17" i="11"/>
  <c r="F16" i="11"/>
  <c r="E16" i="11"/>
  <c r="D16" i="11"/>
  <c r="F15" i="11"/>
  <c r="E15" i="11"/>
  <c r="D15" i="11"/>
  <c r="F14" i="11"/>
  <c r="E14" i="11"/>
  <c r="D14" i="11"/>
  <c r="F13" i="11"/>
  <c r="E13" i="11"/>
  <c r="D13" i="11"/>
  <c r="F12" i="11"/>
  <c r="E12" i="11"/>
  <c r="F18" i="10"/>
  <c r="E18" i="10"/>
  <c r="D18" i="10"/>
  <c r="F17" i="10"/>
  <c r="E17" i="10"/>
  <c r="D17" i="10"/>
  <c r="F16" i="10"/>
  <c r="E16" i="10"/>
  <c r="D16" i="10"/>
  <c r="F15" i="10"/>
  <c r="E15" i="10"/>
  <c r="D15" i="10"/>
  <c r="F14" i="10"/>
  <c r="E14" i="10"/>
  <c r="D14" i="10"/>
  <c r="F13" i="10"/>
  <c r="E13" i="10"/>
  <c r="D13" i="10"/>
  <c r="F12" i="10"/>
  <c r="E12" i="10"/>
  <c r="J15" i="24"/>
  <c r="C15" i="24"/>
  <c r="J14" i="24"/>
  <c r="C14" i="24"/>
  <c r="I14" i="24"/>
  <c r="J13" i="24"/>
  <c r="C13" i="24"/>
  <c r="C12" i="24"/>
  <c r="J15" i="22"/>
  <c r="C15" i="22"/>
  <c r="C14" i="22"/>
  <c r="J13" i="22"/>
  <c r="C13" i="22"/>
  <c r="J12" i="22"/>
  <c r="C12" i="22"/>
  <c r="J15" i="20"/>
  <c r="C15" i="20"/>
  <c r="C14" i="20"/>
  <c r="C13" i="20"/>
  <c r="J12" i="20"/>
  <c r="C12" i="20"/>
  <c r="J15" i="19"/>
  <c r="C15" i="19"/>
  <c r="J14" i="19"/>
  <c r="C14" i="19"/>
  <c r="J13" i="19"/>
  <c r="C13" i="19"/>
  <c r="J12" i="19"/>
  <c r="C12" i="19"/>
  <c r="J15" i="18"/>
  <c r="C15" i="18"/>
  <c r="G15" i="18"/>
  <c r="J14" i="18"/>
  <c r="C14" i="18"/>
  <c r="J13" i="18"/>
  <c r="C13" i="18"/>
  <c r="C12" i="18"/>
  <c r="C15" i="17"/>
  <c r="J14" i="17"/>
  <c r="C14" i="17"/>
  <c r="J13" i="17"/>
  <c r="C13" i="17"/>
  <c r="J12" i="17"/>
  <c r="C12" i="17"/>
  <c r="J18" i="15"/>
  <c r="C18" i="15"/>
  <c r="J17" i="15"/>
  <c r="C17" i="15"/>
  <c r="G17" i="15"/>
  <c r="J16" i="15"/>
  <c r="C16" i="15"/>
  <c r="J15" i="15"/>
  <c r="C15" i="15"/>
  <c r="J14" i="15"/>
  <c r="C14" i="15"/>
  <c r="J13" i="15"/>
  <c r="C13" i="15"/>
  <c r="J12" i="15"/>
  <c r="C12" i="15"/>
  <c r="C18" i="13"/>
  <c r="C17" i="13"/>
  <c r="C16" i="13"/>
  <c r="C15" i="13"/>
  <c r="C14" i="13"/>
  <c r="C13" i="13"/>
  <c r="C12" i="13"/>
  <c r="G18" i="12"/>
  <c r="C18" i="12"/>
  <c r="C17" i="12"/>
  <c r="G16" i="12"/>
  <c r="C16" i="12"/>
  <c r="C15" i="12"/>
  <c r="G14" i="12"/>
  <c r="C14" i="12"/>
  <c r="C13" i="12"/>
  <c r="G12" i="12"/>
  <c r="C12" i="12"/>
  <c r="J62" i="1"/>
  <c r="G18" i="11"/>
  <c r="C18" i="11"/>
  <c r="C17" i="11"/>
  <c r="G16" i="11"/>
  <c r="C16" i="11"/>
  <c r="C15" i="11"/>
  <c r="G14" i="11"/>
  <c r="C14" i="11"/>
  <c r="C13" i="11"/>
  <c r="G12" i="11"/>
  <c r="C12" i="11"/>
  <c r="G18" i="10"/>
  <c r="C18" i="10"/>
  <c r="C17" i="10"/>
  <c r="G16" i="10"/>
  <c r="C16" i="10"/>
  <c r="C15" i="10"/>
  <c r="G14" i="10"/>
  <c r="C14" i="10"/>
  <c r="C13" i="10"/>
  <c r="G12" i="10"/>
  <c r="C12" i="10"/>
  <c r="J26" i="1"/>
  <c r="J24" i="1"/>
  <c r="J19" i="1"/>
  <c r="J18" i="1"/>
  <c r="J15" i="1"/>
  <c r="J9" i="1"/>
  <c r="J8" i="1"/>
  <c r="J7" i="1"/>
  <c r="G14" i="18" l="1"/>
  <c r="G5" i="23"/>
  <c r="G15" i="19"/>
  <c r="G13" i="22"/>
  <c r="G15" i="24"/>
  <c r="G5" i="16"/>
  <c r="G5" i="20"/>
  <c r="G15" i="17"/>
  <c r="G12" i="22"/>
  <c r="G5" i="12"/>
  <c r="G5" i="15"/>
  <c r="G5" i="17"/>
  <c r="G5" i="19"/>
  <c r="G14" i="17"/>
  <c r="G13" i="17"/>
  <c r="G13" i="18"/>
  <c r="G13" i="20"/>
  <c r="G15" i="22"/>
  <c r="G13" i="24"/>
  <c r="G18" i="15"/>
  <c r="G12" i="18"/>
  <c r="G13" i="19"/>
  <c r="G15" i="20"/>
  <c r="G14" i="22"/>
  <c r="G12" i="24"/>
  <c r="G15" i="15"/>
  <c r="G12" i="20"/>
  <c r="G14" i="20"/>
  <c r="G12" i="19"/>
  <c r="G14" i="19"/>
  <c r="G13" i="15"/>
  <c r="G12" i="15"/>
  <c r="G14" i="15"/>
  <c r="G16" i="15"/>
  <c r="I5" i="15"/>
  <c r="I5" i="13"/>
  <c r="I5" i="16"/>
  <c r="I5" i="18"/>
  <c r="I5" i="12"/>
  <c r="I5" i="19"/>
  <c r="I5" i="23"/>
  <c r="I5" i="24"/>
  <c r="H5" i="16"/>
  <c r="H5" i="18"/>
  <c r="I5" i="20"/>
  <c r="H5" i="15"/>
  <c r="I5" i="17"/>
  <c r="H5" i="19"/>
  <c r="H5" i="23"/>
  <c r="H5" i="24"/>
  <c r="H5" i="20"/>
  <c r="H5" i="17"/>
  <c r="H5" i="12"/>
  <c r="J5" i="13"/>
  <c r="H5" i="13"/>
  <c r="G5" i="13"/>
  <c r="G5" i="21"/>
  <c r="H5" i="21"/>
  <c r="I15" i="24"/>
  <c r="I12" i="22"/>
  <c r="I13" i="22"/>
  <c r="I14" i="22"/>
  <c r="I15" i="22"/>
  <c r="I12" i="24"/>
  <c r="I13" i="24"/>
  <c r="G14" i="24"/>
  <c r="H12" i="22"/>
  <c r="H13" i="22"/>
  <c r="H14" i="22"/>
  <c r="H15" i="22"/>
  <c r="H12" i="24"/>
  <c r="H13" i="24"/>
  <c r="H14" i="24"/>
  <c r="H15" i="24"/>
  <c r="I12" i="15"/>
  <c r="I13" i="15"/>
  <c r="I14" i="15"/>
  <c r="I15" i="15"/>
  <c r="I16" i="15"/>
  <c r="I17" i="15"/>
  <c r="I18" i="15"/>
  <c r="G12" i="17"/>
  <c r="H12" i="15"/>
  <c r="H13" i="15"/>
  <c r="H14" i="15"/>
  <c r="H15" i="15"/>
  <c r="H16" i="15"/>
  <c r="H17" i="15"/>
  <c r="H18" i="15"/>
  <c r="I12" i="17"/>
  <c r="I13" i="17"/>
  <c r="I14" i="17"/>
  <c r="I15" i="17"/>
  <c r="I12" i="18"/>
  <c r="I13" i="18"/>
  <c r="I14" i="18"/>
  <c r="I15" i="18"/>
  <c r="I12" i="19"/>
  <c r="I13" i="19"/>
  <c r="I14" i="19"/>
  <c r="I15" i="19"/>
  <c r="I12" i="20"/>
  <c r="I13" i="20"/>
  <c r="I14" i="20"/>
  <c r="I15" i="20"/>
  <c r="I5" i="21"/>
  <c r="J13" i="10"/>
  <c r="H13" i="10"/>
  <c r="J15" i="10"/>
  <c r="H15" i="10"/>
  <c r="J17" i="10"/>
  <c r="H17" i="10"/>
  <c r="J13" i="11"/>
  <c r="H13" i="11"/>
  <c r="J15" i="11"/>
  <c r="H15" i="11"/>
  <c r="J17" i="11"/>
  <c r="H17" i="11"/>
  <c r="J13" i="12"/>
  <c r="H13" i="12"/>
  <c r="J15" i="12"/>
  <c r="H15" i="12"/>
  <c r="J17" i="12"/>
  <c r="H17" i="12"/>
  <c r="J13" i="13"/>
  <c r="H13" i="13"/>
  <c r="J15" i="13"/>
  <c r="H15" i="13"/>
  <c r="J17" i="13"/>
  <c r="H17" i="13"/>
  <c r="J12" i="10"/>
  <c r="H12" i="10"/>
  <c r="J14" i="10"/>
  <c r="H14" i="10"/>
  <c r="J16" i="10"/>
  <c r="H16" i="10"/>
  <c r="J18" i="10"/>
  <c r="H18" i="10"/>
  <c r="J12" i="11"/>
  <c r="H12" i="11"/>
  <c r="J14" i="11"/>
  <c r="H14" i="11"/>
  <c r="J16" i="11"/>
  <c r="H16" i="11"/>
  <c r="J18" i="11"/>
  <c r="H18" i="11"/>
  <c r="J12" i="12"/>
  <c r="H12" i="12"/>
  <c r="J14" i="12"/>
  <c r="H14" i="12"/>
  <c r="J16" i="12"/>
  <c r="H16" i="12"/>
  <c r="J18" i="12"/>
  <c r="H18" i="12"/>
  <c r="J12" i="13"/>
  <c r="H12" i="13"/>
  <c r="J14" i="13"/>
  <c r="H14" i="13"/>
  <c r="J16" i="13"/>
  <c r="H16" i="13"/>
  <c r="J18" i="13"/>
  <c r="H18" i="13"/>
  <c r="G13" i="10"/>
  <c r="G15" i="10"/>
  <c r="G17" i="10"/>
  <c r="G13" i="11"/>
  <c r="G15" i="11"/>
  <c r="G17" i="11"/>
  <c r="G13" i="12"/>
  <c r="G15" i="12"/>
  <c r="G17" i="12"/>
  <c r="G13" i="13"/>
  <c r="G15" i="13"/>
  <c r="G17" i="13"/>
  <c r="I12" i="10"/>
  <c r="I13" i="10"/>
  <c r="I14" i="10"/>
  <c r="I15" i="10"/>
  <c r="I16" i="10"/>
  <c r="I17" i="10"/>
  <c r="I18" i="10"/>
  <c r="I12" i="11"/>
  <c r="I13" i="11"/>
  <c r="I14" i="11"/>
  <c r="I15" i="11"/>
  <c r="I16" i="11"/>
  <c r="I17" i="11"/>
  <c r="I18" i="11"/>
  <c r="I12" i="12"/>
  <c r="I13" i="12"/>
  <c r="I14" i="12"/>
  <c r="I15" i="12"/>
  <c r="I16" i="12"/>
  <c r="I17" i="12"/>
  <c r="I18" i="12"/>
  <c r="I12" i="13"/>
  <c r="I13" i="13"/>
  <c r="I14" i="13"/>
  <c r="I15" i="13"/>
  <c r="I16" i="13"/>
  <c r="I17" i="13"/>
  <c r="I18" i="13"/>
  <c r="H12" i="17"/>
  <c r="H13" i="17"/>
  <c r="H14" i="17"/>
  <c r="H15" i="17"/>
  <c r="H12" i="18"/>
  <c r="H13" i="18"/>
  <c r="H14" i="18"/>
  <c r="H15" i="18"/>
  <c r="H12" i="19"/>
  <c r="H13" i="19"/>
  <c r="H14" i="19"/>
  <c r="H15" i="19"/>
  <c r="H12" i="20"/>
  <c r="H13" i="20"/>
  <c r="H14" i="20"/>
  <c r="H15" i="20"/>
</calcChain>
</file>

<file path=xl/sharedStrings.xml><?xml version="1.0" encoding="utf-8"?>
<sst xmlns="http://schemas.openxmlformats.org/spreadsheetml/2006/main" count="6634" uniqueCount="750">
  <si>
    <t>Согласовано</t>
  </si>
  <si>
    <t>ООО "Комфорт"</t>
  </si>
  <si>
    <t>Директор ООО "Комфорт"</t>
  </si>
  <si>
    <t>МАОУ СОШ № 16</t>
  </si>
  <si>
    <t>Пищевые вещества</t>
  </si>
  <si>
    <t>Ккал</t>
  </si>
  <si>
    <t>№ ТТК</t>
  </si>
  <si>
    <t>Наименование блюд</t>
  </si>
  <si>
    <t>Выход по реестру, г</t>
  </si>
  <si>
    <t>Выход, г</t>
  </si>
  <si>
    <t>Цена, руб</t>
  </si>
  <si>
    <t>Раздел</t>
  </si>
  <si>
    <t>Белки</t>
  </si>
  <si>
    <t>Жиры</t>
  </si>
  <si>
    <t>Углеводы</t>
  </si>
  <si>
    <t>Комплекс №1  1-4 классы 1 смена</t>
  </si>
  <si>
    <t>Итого за Комплекс</t>
  </si>
  <si>
    <t>Комплекс №1  1-4 классы 2 смена</t>
  </si>
  <si>
    <t xml:space="preserve"> Комплекс №3 Двухразовое питание 1-4 классы</t>
  </si>
  <si>
    <t>Завтрак</t>
  </si>
  <si>
    <t>бутер</t>
  </si>
  <si>
    <t>гор.блюдо</t>
  </si>
  <si>
    <t>гор.напиток</t>
  </si>
  <si>
    <t>хлеб белый</t>
  </si>
  <si>
    <t>хлеб черный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</si>
  <si>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</si>
  <si>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</si>
  <si>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</si>
  <si>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</si>
  <si>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</si>
  <si>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</si>
  <si>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</si>
  <si>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</si>
  <si>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Комплекс №4 Двухразовое питание 5-11 классы</t>
  </si>
  <si>
    <t>Комплекс №5 5-11 классы</t>
  </si>
  <si>
    <t xml:space="preserve">Комплекс №6 Булочка 1-11 классы </t>
  </si>
  <si>
    <t>Комплекс №7 Суп 1-11 классы</t>
  </si>
  <si>
    <t>Заведующий производством</t>
  </si>
  <si>
    <t>Гимназия Арт-Этюд</t>
  </si>
  <si>
    <t xml:space="preserve">Директор </t>
  </si>
  <si>
    <t>Семёнова А.А.</t>
  </si>
  <si>
    <t xml:space="preserve"> Комплекс №1 Завтрак 1-4 классы</t>
  </si>
  <si>
    <t>Комплекс №2 Комплекс за родительскую плату 1-4 классы</t>
  </si>
  <si>
    <t xml:space="preserve"> Комплекс №3 Завтрак 5-11 классы</t>
  </si>
  <si>
    <t>Комплекс №4 Комплекс за родительскую плату 5-11 классы</t>
  </si>
  <si>
    <t xml:space="preserve"> Комплекс №5 Двухразовое питание 5-11 классы</t>
  </si>
  <si>
    <t>Школа</t>
  </si>
  <si>
    <t>Отд./корп</t>
  </si>
  <si>
    <t>День</t>
  </si>
  <si>
    <t>Прием пищи</t>
  </si>
  <si>
    <t>№ рец.</t>
  </si>
  <si>
    <t>Блюдо</t>
  </si>
  <si>
    <t>Цена</t>
  </si>
  <si>
    <t>Калорийность</t>
  </si>
  <si>
    <t>хлеб</t>
  </si>
  <si>
    <t>Завтрак 2</t>
  </si>
  <si>
    <t>фрукты</t>
  </si>
  <si>
    <t>Банан</t>
  </si>
  <si>
    <t xml:space="preserve">Компот здоровье </t>
  </si>
  <si>
    <t>Батон пшеничный</t>
  </si>
  <si>
    <t xml:space="preserve">Закуска огурец свежий </t>
  </si>
  <si>
    <t xml:space="preserve">Суп из овощей </t>
  </si>
  <si>
    <t>Азу из говядины</t>
  </si>
  <si>
    <t>Рис с овощами (горошек, кукуруза) и куркумой</t>
  </si>
  <si>
    <t xml:space="preserve">Кисель из черной смородины  </t>
  </si>
  <si>
    <t>Хлеб вит. ржаной</t>
  </si>
  <si>
    <t>Хлеб вит. пшеничный</t>
  </si>
  <si>
    <t>Старшая</t>
  </si>
  <si>
    <t>Младшая</t>
  </si>
  <si>
    <t>Арт-Этюд</t>
  </si>
  <si>
    <t>Наименование</t>
  </si>
  <si>
    <t>Белки, г</t>
  </si>
  <si>
    <t>Жиры, г</t>
  </si>
  <si>
    <t>Углеводы, г</t>
  </si>
  <si>
    <t>Энергетическая ценность, ккал</t>
  </si>
  <si>
    <t>Ca, мг</t>
  </si>
  <si>
    <t>Mg, мг</t>
  </si>
  <si>
    <t>Fe, мг</t>
  </si>
  <si>
    <t>С, мг</t>
  </si>
  <si>
    <t>Номер ТК*ТТК</t>
  </si>
  <si>
    <t>Бутерброд с сыром 40/40</t>
  </si>
  <si>
    <t>80</t>
  </si>
  <si>
    <t>1*1</t>
  </si>
  <si>
    <t>Бутерброд с сыром 20/20</t>
  </si>
  <si>
    <t>40</t>
  </si>
  <si>
    <t>1*4</t>
  </si>
  <si>
    <t>Бутерброд с сыром 20/10</t>
  </si>
  <si>
    <t>30</t>
  </si>
  <si>
    <t>1*5</t>
  </si>
  <si>
    <t>Бутерброд с маслом 20/10</t>
  </si>
  <si>
    <t>1*50</t>
  </si>
  <si>
    <t>Бутерброд с сыром и маслом 20/15/10</t>
  </si>
  <si>
    <t>45</t>
  </si>
  <si>
    <t>1*51</t>
  </si>
  <si>
    <t>Бутерброд с маслом 20/20</t>
  </si>
  <si>
    <t>1*52</t>
  </si>
  <si>
    <t>Масло (порциями)</t>
  </si>
  <si>
    <t>10</t>
  </si>
  <si>
    <t>1*53</t>
  </si>
  <si>
    <t>Сыр (порциями)</t>
  </si>
  <si>
    <t>1*54</t>
  </si>
  <si>
    <t>Бутерброд с сыром и маслом 20/15/15</t>
  </si>
  <si>
    <t>50</t>
  </si>
  <si>
    <t>1*55</t>
  </si>
  <si>
    <t>Бутерброд с колбасой 20/20</t>
  </si>
  <si>
    <t>1*56</t>
  </si>
  <si>
    <t>Бутерброд с сыром и маслом 20/10/10</t>
  </si>
  <si>
    <t>1*57</t>
  </si>
  <si>
    <t>Каша геркулесовая с маслом 200/10</t>
  </si>
  <si>
    <t>210</t>
  </si>
  <si>
    <t>2*2</t>
  </si>
  <si>
    <t>Каша вязкая рисовая с маслом 200/10</t>
  </si>
  <si>
    <t>2*50</t>
  </si>
  <si>
    <t>Каша вязкая манная с маслом 200/10</t>
  </si>
  <si>
    <t>2*51</t>
  </si>
  <si>
    <t>Каша вязкая пшенная с маслом 200/10</t>
  </si>
  <si>
    <t>2*52</t>
  </si>
  <si>
    <t xml:space="preserve">Каша молочная ассорти (рис, греча) с маслом </t>
  </si>
  <si>
    <t>200</t>
  </si>
  <si>
    <t>2*53</t>
  </si>
  <si>
    <t>Каша вязкая кукурузная с маслом 200/10</t>
  </si>
  <si>
    <t>2*54</t>
  </si>
  <si>
    <t>Каша ячневая молочная с маслом</t>
  </si>
  <si>
    <t>2*57</t>
  </si>
  <si>
    <t>Каша пшеничная молочная с маслом</t>
  </si>
  <si>
    <t>2*58</t>
  </si>
  <si>
    <t>Каша вязкая гречневая с маслом</t>
  </si>
  <si>
    <t>2*59</t>
  </si>
  <si>
    <t>Каша жидкая пшенная с маслом</t>
  </si>
  <si>
    <t>250</t>
  </si>
  <si>
    <t>2*60</t>
  </si>
  <si>
    <t>Каша жидкая рисовая с маслом</t>
  </si>
  <si>
    <t>2*61</t>
  </si>
  <si>
    <t>2*62</t>
  </si>
  <si>
    <t>2*63</t>
  </si>
  <si>
    <t>Каша жидкая пшеничная с маслом</t>
  </si>
  <si>
    <t>2*64</t>
  </si>
  <si>
    <t>Запеканка творожная с льняной мукой</t>
  </si>
  <si>
    <t>100</t>
  </si>
  <si>
    <t>3*8</t>
  </si>
  <si>
    <t>Запеканка творожная</t>
  </si>
  <si>
    <t>3*9</t>
  </si>
  <si>
    <t>Запеканка (сырники) из творога с морковью</t>
  </si>
  <si>
    <t>3*11</t>
  </si>
  <si>
    <t>Пудинг из творога (запеченный)</t>
  </si>
  <si>
    <t>3*51</t>
  </si>
  <si>
    <t>Морковная запеканка</t>
  </si>
  <si>
    <t>150</t>
  </si>
  <si>
    <t>3*52</t>
  </si>
  <si>
    <t>Суфле творожное</t>
  </si>
  <si>
    <t>3*55</t>
  </si>
  <si>
    <t>Яичница глазунья</t>
  </si>
  <si>
    <t>171</t>
  </si>
  <si>
    <t>4*3</t>
  </si>
  <si>
    <t>Омлет с горошком</t>
  </si>
  <si>
    <t>4*6</t>
  </si>
  <si>
    <t xml:space="preserve">Омлет с сосисками </t>
  </si>
  <si>
    <t>4*52</t>
  </si>
  <si>
    <t xml:space="preserve">Омлет с сыром </t>
  </si>
  <si>
    <t>4*54</t>
  </si>
  <si>
    <t xml:space="preserve">Омлет натуральный с маслом сливочным </t>
  </si>
  <si>
    <t>4*56</t>
  </si>
  <si>
    <t>Яйцо отварное 1 шт.</t>
  </si>
  <si>
    <t>4*57</t>
  </si>
  <si>
    <t xml:space="preserve">Кус-кус отварной </t>
  </si>
  <si>
    <t>5*1</t>
  </si>
  <si>
    <t>5*2</t>
  </si>
  <si>
    <t>5*3</t>
  </si>
  <si>
    <t>Рагу овощное (2 вариант)</t>
  </si>
  <si>
    <t>5*4</t>
  </si>
  <si>
    <t xml:space="preserve">Овощи запеченные </t>
  </si>
  <si>
    <t>5*5</t>
  </si>
  <si>
    <t>Картофель тушенный с кабачками</t>
  </si>
  <si>
    <t>5*6</t>
  </si>
  <si>
    <t>Рис припущенный с овощами</t>
  </si>
  <si>
    <t>5*7</t>
  </si>
  <si>
    <t xml:space="preserve">Картофель запеченный </t>
  </si>
  <si>
    <t>5*51</t>
  </si>
  <si>
    <t xml:space="preserve">Картофель отварной с маслом </t>
  </si>
  <si>
    <t>5*52</t>
  </si>
  <si>
    <t xml:space="preserve">Каша рассыпчатая гречневая с маслом </t>
  </si>
  <si>
    <t>5*53</t>
  </si>
  <si>
    <t xml:space="preserve">Макаронные изделия отварные </t>
  </si>
  <si>
    <t>5*54</t>
  </si>
  <si>
    <t xml:space="preserve">Овощи, припущенные в молочном соусе </t>
  </si>
  <si>
    <t>5*55</t>
  </si>
  <si>
    <t xml:space="preserve">Рис припущенный </t>
  </si>
  <si>
    <t>5*56</t>
  </si>
  <si>
    <t xml:space="preserve">Капуста тушенная </t>
  </si>
  <si>
    <t>5*57</t>
  </si>
  <si>
    <t xml:space="preserve">Пюре картофельное </t>
  </si>
  <si>
    <t>5*58</t>
  </si>
  <si>
    <t xml:space="preserve">Макаронные изделия отварные с сыром </t>
  </si>
  <si>
    <t>5*59</t>
  </si>
  <si>
    <t>Картофельное пюре с морковью</t>
  </si>
  <si>
    <t>5*60</t>
  </si>
  <si>
    <t>Каша перловая с овощами</t>
  </si>
  <si>
    <t>5*61</t>
  </si>
  <si>
    <t>Капуста цветная отварная</t>
  </si>
  <si>
    <t>5*62</t>
  </si>
  <si>
    <t>Каша гречневая вязкая</t>
  </si>
  <si>
    <t>5*66</t>
  </si>
  <si>
    <t>Уха из минтая</t>
  </si>
  <si>
    <t>300</t>
  </si>
  <si>
    <t>6*1</t>
  </si>
  <si>
    <t>Борщ с морской капустой</t>
  </si>
  <si>
    <t>6*2</t>
  </si>
  <si>
    <t>Бульон куриный 1л</t>
  </si>
  <si>
    <t xml:space="preserve">6*50 </t>
  </si>
  <si>
    <t xml:space="preserve">Борщ с капустой с картофелем и сметаной </t>
  </si>
  <si>
    <t>6*51</t>
  </si>
  <si>
    <t>6*56</t>
  </si>
  <si>
    <t xml:space="preserve">Суп картофельный с бобовыми </t>
  </si>
  <si>
    <t>6*57</t>
  </si>
  <si>
    <t>Суп с макаронными изделиями</t>
  </si>
  <si>
    <t>6*63</t>
  </si>
  <si>
    <t xml:space="preserve">Суп-пюре из разных овощей с гренками </t>
  </si>
  <si>
    <t>6*65</t>
  </si>
  <si>
    <t xml:space="preserve">Гренки </t>
  </si>
  <si>
    <t>6*66</t>
  </si>
  <si>
    <t>Рассольник Ленинградский со сметаной</t>
  </si>
  <si>
    <t>6*70</t>
  </si>
  <si>
    <t>Борщ с фасолью</t>
  </si>
  <si>
    <t>6*72</t>
  </si>
  <si>
    <t xml:space="preserve">Щи из свежей капусты с картофелем и сметаной </t>
  </si>
  <si>
    <t>6*73</t>
  </si>
  <si>
    <t>7*11</t>
  </si>
  <si>
    <t xml:space="preserve">Салат из моркови и сахара </t>
  </si>
  <si>
    <t>7*12</t>
  </si>
  <si>
    <t xml:space="preserve">Салат из свеклы с яблоками </t>
  </si>
  <si>
    <t xml:space="preserve">100 </t>
  </si>
  <si>
    <t>7*16</t>
  </si>
  <si>
    <t>Салат из огурцов и томатов с кукурузой</t>
  </si>
  <si>
    <t>7*17</t>
  </si>
  <si>
    <t>Салат из моркови, сахара и изюма</t>
  </si>
  <si>
    <t>7*19</t>
  </si>
  <si>
    <t xml:space="preserve">Закуска витаминка (с огурцом) </t>
  </si>
  <si>
    <t>7*26</t>
  </si>
  <si>
    <t>Салат из отварного картофеля с зеленым луком и растительным маслом</t>
  </si>
  <si>
    <t>7*29</t>
  </si>
  <si>
    <t>7*30</t>
  </si>
  <si>
    <t>Салат из отварного картофеля, кукурузы и репчатого лука с растительным маслом</t>
  </si>
  <si>
    <t>7*31</t>
  </si>
  <si>
    <t>Салат из отварной свеклы с изюмом и растительным маслом</t>
  </si>
  <si>
    <t>7*32</t>
  </si>
  <si>
    <t>Салат из отварного картофеля с морской капустой и растительным маслом</t>
  </si>
  <si>
    <t>7*33</t>
  </si>
  <si>
    <t>Салат из отварной свеклы с сыром и растительным маслом</t>
  </si>
  <si>
    <t>7*34</t>
  </si>
  <si>
    <t>Салат из белокочанной капусты с морковью и растительным маслом</t>
  </si>
  <si>
    <t>7*35</t>
  </si>
  <si>
    <t>Салат из белокочанной капусты с кукурузой, яйцом и растительным маслом</t>
  </si>
  <si>
    <t>7*36</t>
  </si>
  <si>
    <t>Салат из отварного картофеля, моркови и зеленого горошка конс с раст. маслом</t>
  </si>
  <si>
    <t>7*37</t>
  </si>
  <si>
    <t>Закуска витаминка (с яблоком)</t>
  </si>
  <si>
    <t>7*38</t>
  </si>
  <si>
    <t>Закуска соленый огурец</t>
  </si>
  <si>
    <t>7*39</t>
  </si>
  <si>
    <t>Салат из свежих огурцов томатов с растительным маслом</t>
  </si>
  <si>
    <t>7*53</t>
  </si>
  <si>
    <t xml:space="preserve">Закуска томат свежий </t>
  </si>
  <si>
    <t>7*58</t>
  </si>
  <si>
    <t>Салат из свежих томатов с растительным маслом</t>
  </si>
  <si>
    <t>7*59</t>
  </si>
  <si>
    <t>Салат из свежих огурцов с растительным маслом</t>
  </si>
  <si>
    <t>7*63</t>
  </si>
  <si>
    <t>Салат из отварной свеклы с солеными огурцами и растительным маслом</t>
  </si>
  <si>
    <t>7*68</t>
  </si>
  <si>
    <t>Гуляш из говядины (Аверино)</t>
  </si>
  <si>
    <t>8*12</t>
  </si>
  <si>
    <t>Биточек домашний</t>
  </si>
  <si>
    <t>8*23</t>
  </si>
  <si>
    <t>Запеканка картофельная, фаршированная отварным мясом (говядина, кура)</t>
  </si>
  <si>
    <t>8*24</t>
  </si>
  <si>
    <t>Тефтели мясные (говядина, свинина)</t>
  </si>
  <si>
    <t>8*25</t>
  </si>
  <si>
    <t>Тефтели мясные (говядина, свинина) с отрубями</t>
  </si>
  <si>
    <t>8*26</t>
  </si>
  <si>
    <t>Плов со свининой</t>
  </si>
  <si>
    <t>8*27</t>
  </si>
  <si>
    <t>Запеканка картофельная, фаршированная отварным мясом говядины (вариант 2)</t>
  </si>
  <si>
    <t>8*51</t>
  </si>
  <si>
    <t xml:space="preserve">Мясо говядины, тушенное с овощами </t>
  </si>
  <si>
    <t>8*52</t>
  </si>
  <si>
    <t xml:space="preserve">Гуляш </t>
  </si>
  <si>
    <t>8*54</t>
  </si>
  <si>
    <t>Плов с говядиной</t>
  </si>
  <si>
    <t>8*59</t>
  </si>
  <si>
    <t>Макаронник с мясом говядины</t>
  </si>
  <si>
    <t>8*60</t>
  </si>
  <si>
    <t>Тефтели из мяса говядины с рисом</t>
  </si>
  <si>
    <t>8*79</t>
  </si>
  <si>
    <t>8*80</t>
  </si>
  <si>
    <t xml:space="preserve">Фрикасе из филе бедра в молочном соусе </t>
  </si>
  <si>
    <t>9*5</t>
  </si>
  <si>
    <t xml:space="preserve">Фрикасе из филе бедра в сметанном соусе </t>
  </si>
  <si>
    <t>9*6</t>
  </si>
  <si>
    <t xml:space="preserve">Котлета куриная </t>
  </si>
  <si>
    <t>9*8</t>
  </si>
  <si>
    <t xml:space="preserve">Фрикасе из филе грудки в сметанном соусе </t>
  </si>
  <si>
    <t>9*10</t>
  </si>
  <si>
    <t>9*11</t>
  </si>
  <si>
    <t xml:space="preserve">Птица тушенная в соусе с овощами </t>
  </si>
  <si>
    <t>9*60</t>
  </si>
  <si>
    <t>Колобки заморские с маслом</t>
  </si>
  <si>
    <t>10*2</t>
  </si>
  <si>
    <t>Филе горбуши запеченное с овощами</t>
  </si>
  <si>
    <t>10*4</t>
  </si>
  <si>
    <t>Филе минтая запеченное с овощами</t>
  </si>
  <si>
    <t>10*5</t>
  </si>
  <si>
    <t>Тефтели из минтая</t>
  </si>
  <si>
    <t>10*6</t>
  </si>
  <si>
    <t>Пудинг рыбный из минтая (паровой)</t>
  </si>
  <si>
    <t>10*62</t>
  </si>
  <si>
    <t>Котлеты из минтая (паровые)</t>
  </si>
  <si>
    <t>10*63</t>
  </si>
  <si>
    <t>Напиток ассорти из красных ягод</t>
  </si>
  <si>
    <t>11*1</t>
  </si>
  <si>
    <t>Напиток из облепихи</t>
  </si>
  <si>
    <t>11*2</t>
  </si>
  <si>
    <t>Напиток из черной смородины</t>
  </si>
  <si>
    <t>11*3</t>
  </si>
  <si>
    <t>Чай с сахаром и молоком</t>
  </si>
  <si>
    <t>11*4</t>
  </si>
  <si>
    <t>Кисель из облепихи</t>
  </si>
  <si>
    <t>11*5</t>
  </si>
  <si>
    <t>11*6</t>
  </si>
  <si>
    <t>Напиток из вишни</t>
  </si>
  <si>
    <t>11*7</t>
  </si>
  <si>
    <t>Напиток бруснично-клубничный</t>
  </si>
  <si>
    <t>11*8</t>
  </si>
  <si>
    <t>Напиток из брусники</t>
  </si>
  <si>
    <t>11*9</t>
  </si>
  <si>
    <t>Напиток из клюквы</t>
  </si>
  <si>
    <t>11*10</t>
  </si>
  <si>
    <t>Напиток из клубники</t>
  </si>
  <si>
    <t>11*11</t>
  </si>
  <si>
    <t>Снежок</t>
  </si>
  <si>
    <t>11*13</t>
  </si>
  <si>
    <t>Напиток из мандарин</t>
  </si>
  <si>
    <t>11*14</t>
  </si>
  <si>
    <t xml:space="preserve">Какао с молоком  </t>
  </si>
  <si>
    <t>11*51</t>
  </si>
  <si>
    <t xml:space="preserve">Компот из кураги  </t>
  </si>
  <si>
    <t>11*52</t>
  </si>
  <si>
    <t xml:space="preserve">Напиток из плодов шиповника  </t>
  </si>
  <si>
    <t>11*53</t>
  </si>
  <si>
    <t xml:space="preserve">Чай лимонный  </t>
  </si>
  <si>
    <t>11*54</t>
  </si>
  <si>
    <t>Чай заварка</t>
  </si>
  <si>
    <t>11*55</t>
  </si>
  <si>
    <t xml:space="preserve">Чай с сахаром  </t>
  </si>
  <si>
    <t>11*56</t>
  </si>
  <si>
    <t>11*57</t>
  </si>
  <si>
    <t xml:space="preserve">Компот из изюма  </t>
  </si>
  <si>
    <t>11*58</t>
  </si>
  <si>
    <t>Кофейный напиток</t>
  </si>
  <si>
    <t>11*59</t>
  </si>
  <si>
    <t xml:space="preserve">Молоко кипяченое </t>
  </si>
  <si>
    <t>11*60</t>
  </si>
  <si>
    <t>Кефир</t>
  </si>
  <si>
    <t>11*61</t>
  </si>
  <si>
    <t>Ряженка</t>
  </si>
  <si>
    <t>11*62</t>
  </si>
  <si>
    <t>Кисель из вишни</t>
  </si>
  <si>
    <t>11*63</t>
  </si>
  <si>
    <t>Компот из сухофруктов</t>
  </si>
  <si>
    <t>11*64</t>
  </si>
  <si>
    <t>Соус из черники</t>
  </si>
  <si>
    <t>12*1</t>
  </si>
  <si>
    <t>Соус из малины</t>
  </si>
  <si>
    <t>12*2</t>
  </si>
  <si>
    <t>Соус из клубники</t>
  </si>
  <si>
    <t>12*3</t>
  </si>
  <si>
    <t xml:space="preserve">Соус томатный </t>
  </si>
  <si>
    <t>12*51</t>
  </si>
  <si>
    <t xml:space="preserve">Соус сметанный </t>
  </si>
  <si>
    <t>12*52</t>
  </si>
  <si>
    <t xml:space="preserve">Соус молочный </t>
  </si>
  <si>
    <t>12*53</t>
  </si>
  <si>
    <t xml:space="preserve">Соус сметанно-томатный </t>
  </si>
  <si>
    <t>12*54</t>
  </si>
  <si>
    <t>Соус яблочный</t>
  </si>
  <si>
    <t>12*55</t>
  </si>
  <si>
    <t>Соус абрикосовый</t>
  </si>
  <si>
    <t>12*56</t>
  </si>
  <si>
    <t>Соус молочный (сладкий)</t>
  </si>
  <si>
    <t>12*57</t>
  </si>
  <si>
    <t>Соус шоколадный</t>
  </si>
  <si>
    <t>12*58</t>
  </si>
  <si>
    <t>Молоко сгущенное</t>
  </si>
  <si>
    <t>12*59</t>
  </si>
  <si>
    <t>Блины с фруктовой начинкой</t>
  </si>
  <si>
    <t>110</t>
  </si>
  <si>
    <t>13*1</t>
  </si>
  <si>
    <t>Слойка с яблоком</t>
  </si>
  <si>
    <t>75</t>
  </si>
  <si>
    <t>13*3</t>
  </si>
  <si>
    <t>Слойка с повидлом</t>
  </si>
  <si>
    <t>13*4</t>
  </si>
  <si>
    <t xml:space="preserve">Начинка творожная </t>
  </si>
  <si>
    <t>13*6</t>
  </si>
  <si>
    <t xml:space="preserve">Ватрушка с творогом </t>
  </si>
  <si>
    <t>13*7</t>
  </si>
  <si>
    <t xml:space="preserve">Пицца с сосисками </t>
  </si>
  <si>
    <t>13*8</t>
  </si>
  <si>
    <t xml:space="preserve">Лепешка Уральская </t>
  </si>
  <si>
    <t>13*10</t>
  </si>
  <si>
    <t xml:space="preserve">Язычок слоеный с сахаром </t>
  </si>
  <si>
    <t>13*11</t>
  </si>
  <si>
    <t xml:space="preserve">Сдоба Выборгская </t>
  </si>
  <si>
    <t>13*12</t>
  </si>
  <si>
    <t xml:space="preserve">Рулетик с маком </t>
  </si>
  <si>
    <t>13*16</t>
  </si>
  <si>
    <t>Булочка с корицей</t>
  </si>
  <si>
    <t>13*18</t>
  </si>
  <si>
    <t xml:space="preserve">Слойка с творогом </t>
  </si>
  <si>
    <t>13*19</t>
  </si>
  <si>
    <t>Булочка Дорожная</t>
  </si>
  <si>
    <t>13*21</t>
  </si>
  <si>
    <t xml:space="preserve">Булочка Веснушка </t>
  </si>
  <si>
    <t>13*22</t>
  </si>
  <si>
    <t xml:space="preserve">Ватрушка Лакомка </t>
  </si>
  <si>
    <t>13*24</t>
  </si>
  <si>
    <t>Пирожок слоеный с яблоком</t>
  </si>
  <si>
    <t>13*25</t>
  </si>
  <si>
    <t>Ватрушка со сметаной</t>
  </si>
  <si>
    <t>13*26</t>
  </si>
  <si>
    <t>Булочка витушка с творогом</t>
  </si>
  <si>
    <t>13*27</t>
  </si>
  <si>
    <t>Булочка с сыром</t>
  </si>
  <si>
    <t>13*28</t>
  </si>
  <si>
    <t>Манник</t>
  </si>
  <si>
    <t>13*30</t>
  </si>
  <si>
    <t>Пудинг манный</t>
  </si>
  <si>
    <t xml:space="preserve">Тесто дрожжевое </t>
  </si>
  <si>
    <t>13*50</t>
  </si>
  <si>
    <t xml:space="preserve">Пирожок с луком и яйцом </t>
  </si>
  <si>
    <t>13*51</t>
  </si>
  <si>
    <t xml:space="preserve">Булочка домашняя </t>
  </si>
  <si>
    <t>13*52</t>
  </si>
  <si>
    <t xml:space="preserve">Тесто дрожжевое сдобное </t>
  </si>
  <si>
    <t>13*53</t>
  </si>
  <si>
    <t xml:space="preserve">Начинка яблочная </t>
  </si>
  <si>
    <t>13*54</t>
  </si>
  <si>
    <t>Пирожок сдобный с яблоком</t>
  </si>
  <si>
    <t>13*55</t>
  </si>
  <si>
    <t>Ватрушка с повидлом</t>
  </si>
  <si>
    <t>13*56</t>
  </si>
  <si>
    <t xml:space="preserve">Расстегай с минтаем </t>
  </si>
  <si>
    <t>13*57</t>
  </si>
  <si>
    <t xml:space="preserve">Начинка картофельная </t>
  </si>
  <si>
    <t>13*58</t>
  </si>
  <si>
    <t xml:space="preserve">Пирожок сдобный с картофелем </t>
  </si>
  <si>
    <t>13*59</t>
  </si>
  <si>
    <t xml:space="preserve">Пирожок сдобный с капустой </t>
  </si>
  <si>
    <t>13*60</t>
  </si>
  <si>
    <t>Начинка капустная</t>
  </si>
  <si>
    <t>13*61</t>
  </si>
  <si>
    <t>Сосиска в тесте</t>
  </si>
  <si>
    <t>13*63</t>
  </si>
  <si>
    <t xml:space="preserve">Груша </t>
  </si>
  <si>
    <t>16*1</t>
  </si>
  <si>
    <t xml:space="preserve">Яблоко </t>
  </si>
  <si>
    <t>16*2</t>
  </si>
  <si>
    <t>Мандарин</t>
  </si>
  <si>
    <t>16*3</t>
  </si>
  <si>
    <t>Апельсин</t>
  </si>
  <si>
    <t>16*4</t>
  </si>
  <si>
    <t>16*5</t>
  </si>
  <si>
    <t>-</t>
  </si>
  <si>
    <t>Йогурт</t>
  </si>
  <si>
    <t>125</t>
  </si>
  <si>
    <t>Повидло фруктовое</t>
  </si>
  <si>
    <t>любая позиция</t>
  </si>
  <si>
    <t>фрукт/йогурт</t>
  </si>
  <si>
    <t>соус/повидло</t>
  </si>
  <si>
    <t>суп</t>
  </si>
  <si>
    <t>напиток</t>
  </si>
  <si>
    <t>Джем порционный 15 г</t>
  </si>
  <si>
    <t>15</t>
  </si>
  <si>
    <t>Нектарин</t>
  </si>
  <si>
    <t>16*6</t>
  </si>
  <si>
    <t>Чоко-пай</t>
  </si>
  <si>
    <t>28</t>
  </si>
  <si>
    <t>11*74</t>
  </si>
  <si>
    <t>Джем порционный 20 г</t>
  </si>
  <si>
    <t>20</t>
  </si>
  <si>
    <t>Напиток из свежих яблок</t>
  </si>
  <si>
    <t xml:space="preserve"> Комплекс №6 Двухразовое питание 1-4 классы</t>
  </si>
  <si>
    <t>1*58</t>
  </si>
  <si>
    <t>Каша гречневая с тушенкой (говядина)</t>
  </si>
  <si>
    <t>8*28</t>
  </si>
  <si>
    <t>Мартыненко В.М.</t>
  </si>
  <si>
    <t>______________________________________</t>
  </si>
  <si>
    <t>Фрикадельки куриные</t>
  </si>
  <si>
    <t>Соус из брусники</t>
  </si>
  <si>
    <t>12*5</t>
  </si>
  <si>
    <t>Чай "Каркаде" с сахаром</t>
  </si>
  <si>
    <t>Комплекс №2 5-11 классы 1 смена</t>
  </si>
  <si>
    <t>Комплекс №2 5-11 классы 2 смена</t>
  </si>
  <si>
    <t>Комплекс №13 горячее, суп, булочка</t>
  </si>
  <si>
    <t>Комплекс №9 5-11 Обед</t>
  </si>
  <si>
    <t>Уха из горбуши</t>
  </si>
  <si>
    <t>Компот из кураги и яблок</t>
  </si>
  <si>
    <t>11*17</t>
  </si>
  <si>
    <t>Колбаски "Витаминные"</t>
  </si>
  <si>
    <t>9*61</t>
  </si>
  <si>
    <t>11*73</t>
  </si>
  <si>
    <t>Соус "Болоньезе"</t>
  </si>
  <si>
    <t>10,90</t>
  </si>
  <si>
    <t>8*30</t>
  </si>
  <si>
    <t>Кисель "Витошка"</t>
  </si>
  <si>
    <t>Салат из припущенной моркови и яблок с растительным маслом</t>
  </si>
  <si>
    <t>7*65</t>
  </si>
  <si>
    <t>Каша гречневая молочная с маслом</t>
  </si>
  <si>
    <t>Тефтели из горбуши</t>
  </si>
  <si>
    <t>10*8</t>
  </si>
  <si>
    <t>Чай с малиной и сахаром</t>
  </si>
  <si>
    <t>11*18</t>
  </si>
  <si>
    <t xml:space="preserve">Тимошкина А.С. </t>
  </si>
  <si>
    <t>Поматилов С. С.</t>
  </si>
  <si>
    <t>Свинина тушенная в соусе</t>
  </si>
  <si>
    <t>Курсив</t>
  </si>
  <si>
    <t>Темный фон</t>
  </si>
  <si>
    <t>Директор МАОУ СОШ № 16</t>
  </si>
  <si>
    <t>Бутерброд с сыром и маслом 20/10/5</t>
  </si>
  <si>
    <t>35</t>
  </si>
  <si>
    <t>Булочное изделие в асс.</t>
  </si>
  <si>
    <t>Пирожок сдобный с повидлом и курагой</t>
  </si>
  <si>
    <t>Напиток из черноплодной рябины</t>
  </si>
  <si>
    <t>Филе куриное тушенное с овощами</t>
  </si>
  <si>
    <t>Бутерброд с маслом 20/5</t>
  </si>
  <si>
    <t>25</t>
  </si>
  <si>
    <t>Салат из белокочанной капусты с кукурузой и маслом</t>
  </si>
  <si>
    <t>Плов из птицы</t>
  </si>
  <si>
    <t>горячее</t>
  </si>
  <si>
    <t>салат</t>
  </si>
  <si>
    <t>хлеб пшеничный</t>
  </si>
  <si>
    <t>хлеб ржаной</t>
  </si>
  <si>
    <t>чай</t>
  </si>
  <si>
    <t>закуска/салат</t>
  </si>
  <si>
    <t xml:space="preserve">Суп-пюре гороховый с гренками </t>
  </si>
  <si>
    <t>Комплекс №1  1-4 классы (меню для детей с сахарным диабетом)</t>
  </si>
  <si>
    <t>Комплекс №1  1-4 классы (безмолочное меню)</t>
  </si>
  <si>
    <t>Каша жидкая геркулесовая с маслом без сахара</t>
  </si>
  <si>
    <t>Каша вязкая овсяная на воде с растительным маслом</t>
  </si>
  <si>
    <t>11*16</t>
  </si>
  <si>
    <t>Жаркое по-домашнему со свининой</t>
  </si>
  <si>
    <t>Комплекс №2  1-4 классы (безмолочное меню)</t>
  </si>
  <si>
    <t xml:space="preserve">                                                                                                                                                                                       Полдник</t>
  </si>
  <si>
    <t>Салат "Бурячок"</t>
  </si>
  <si>
    <t>Фрикаделька "Школьная"</t>
  </si>
  <si>
    <t>Плоп С.Г.</t>
  </si>
  <si>
    <t>Филе куриное по-милански</t>
  </si>
  <si>
    <t>Какао с молоком  без сахара</t>
  </si>
  <si>
    <t>Пюре картофельное без молока</t>
  </si>
  <si>
    <t>Салат из отварной свеклы с растительным маслом</t>
  </si>
  <si>
    <t>Оладьи из свинины (рубленая свинина)</t>
  </si>
  <si>
    <t>Картофель по-деревенски</t>
  </si>
  <si>
    <t>Мясо по-французски с картофелем</t>
  </si>
  <si>
    <t>Гуляш из свинины</t>
  </si>
  <si>
    <t>Чай с сахаром</t>
  </si>
  <si>
    <t>Какао с молоком без сахара</t>
  </si>
  <si>
    <t xml:space="preserve">Каша молочная Дружба (греча, рис) </t>
  </si>
  <si>
    <t>Комплекс №2  1-4 классы (меню для детей с сахарным диабетом)</t>
  </si>
  <si>
    <t>МАОУ СОШ № 17</t>
  </si>
  <si>
    <t>Директор МАОУ СОШ № 17</t>
  </si>
  <si>
    <t>Кузин Е.Е.</t>
  </si>
  <si>
    <t>Ветрова И.В.</t>
  </si>
  <si>
    <t>Директор МАОУ СОШ № 19</t>
  </si>
  <si>
    <t>Белова С.А.</t>
  </si>
  <si>
    <t>МАОУ СОШ № 19</t>
  </si>
  <si>
    <t>Видяпина А.В.</t>
  </si>
  <si>
    <t>МАОУ СОШ № 64</t>
  </si>
  <si>
    <t>МАОУ СОШ № 85</t>
  </si>
  <si>
    <t>Директор МАОУ СОШ № 85</t>
  </si>
  <si>
    <t>Ващук Н.А.</t>
  </si>
  <si>
    <t>Зарипова А.А.</t>
  </si>
  <si>
    <t>Сажаева А.А.</t>
  </si>
  <si>
    <t>Директор МАОУ лицей № 109</t>
  </si>
  <si>
    <t>МАОУ СОШ № 109</t>
  </si>
  <si>
    <t>Давтян Н. Г.</t>
  </si>
  <si>
    <t>Андреева Л. В.</t>
  </si>
  <si>
    <t>МАОУ СОШ № 181</t>
  </si>
  <si>
    <t>Сыскова А.Р.</t>
  </si>
  <si>
    <t>МАОУ СОШ № 71</t>
  </si>
  <si>
    <t>Шиндина Т.А.</t>
  </si>
  <si>
    <t>Комплекс №10 Суп 1-11 классы</t>
  </si>
  <si>
    <t>Комплекс №11 Булочка 1-11 классы</t>
  </si>
  <si>
    <t>Комплекс №8 ГПД Суп 1-4 классы</t>
  </si>
  <si>
    <t>Комплекс №13 ГПД с супом и булочкой</t>
  </si>
  <si>
    <t xml:space="preserve">Комплекс №8 Напиток 1-11 классы </t>
  </si>
  <si>
    <t>13*13</t>
  </si>
  <si>
    <t>Напиток в ассортименте</t>
  </si>
  <si>
    <t>Комплекс №16  1-4 классы 2 смена</t>
  </si>
  <si>
    <t>Комплекс №10 Полдник</t>
  </si>
  <si>
    <t>Комлпекс №10 ГПД (булочка + чай)</t>
  </si>
  <si>
    <t>Комплекс №16 Обед за родительскую плату (2 смена, 1-4 классы)</t>
  </si>
  <si>
    <t>Комплекс №1  5-11 классы (меню для детей с сахарным диабетом)</t>
  </si>
  <si>
    <t>Комплекс №1  5-11 классы (безмолочное меню)</t>
  </si>
  <si>
    <t>Комплекс №8 1-11 классы</t>
  </si>
  <si>
    <t>Суп картофельный с бобовыми</t>
  </si>
  <si>
    <t>10*10</t>
  </si>
  <si>
    <t>Шаньга со сметаной</t>
  </si>
  <si>
    <t>Каша вязкая геркулесовая на воде с растительным маслом</t>
  </si>
  <si>
    <t>Комплекс №9  (свободный выбор)</t>
  </si>
  <si>
    <t>Люля-кебаб (свинина, курица)</t>
  </si>
  <si>
    <t>Комплекс №10  (свободный выбор)</t>
  </si>
  <si>
    <t>Филе куриное с соленым огурцом под сыром</t>
  </si>
  <si>
    <t>Директор МАОУ СОШ № 71</t>
  </si>
  <si>
    <t>Макарова Е.К.</t>
  </si>
  <si>
    <t>Каша жидкая молочная манная с маслом</t>
  </si>
  <si>
    <t>Каша молочная жидкая геркулесовая с маслом</t>
  </si>
  <si>
    <t>Салат из картофеля с соленым огурцом и луком репчатым</t>
  </si>
  <si>
    <t>Комплекс №1  Альтернативное меню</t>
  </si>
  <si>
    <t>Комплекс №2  Альтернативное меню</t>
  </si>
  <si>
    <t>ООО Столовая №41</t>
  </si>
  <si>
    <t>МАОУ лицей № 3</t>
  </si>
  <si>
    <t>Директор МАОУ лицей № 3</t>
  </si>
  <si>
    <t>Полтавец И.В.</t>
  </si>
  <si>
    <t>Комплекс №16 ГПД Суп 1-4 классы</t>
  </si>
  <si>
    <t>Комплекс №2  5-11 классы (меню для детей с сахарным диабетом)</t>
  </si>
  <si>
    <t>Директор МАОУ СОШ № 64</t>
  </si>
  <si>
    <t>Бурляева Н.Н.</t>
  </si>
  <si>
    <t>7*52</t>
  </si>
  <si>
    <t>Горошек консервированный</t>
  </si>
  <si>
    <t>7*14</t>
  </si>
  <si>
    <t>Салат из квашеной капусты с зеленью и раст.маслом</t>
  </si>
  <si>
    <t>9*17</t>
  </si>
  <si>
    <t>Плов из птицы (бедро куриное) с куркумой</t>
  </si>
  <si>
    <t>Чай "Каркаде" без сахара</t>
  </si>
  <si>
    <t>до 87</t>
  </si>
  <si>
    <t>МАОУ СОШ № 24</t>
  </si>
  <si>
    <t>Директор МАОУ СОШ № 24</t>
  </si>
  <si>
    <t>Порубенко Н.В.</t>
  </si>
  <si>
    <t>МАОУ СОШ № 36</t>
  </si>
  <si>
    <t>Директор МАОУ СОШ № 36</t>
  </si>
  <si>
    <t>Бабушкина А.С.</t>
  </si>
  <si>
    <t>Комплекс №12 5-11 обед с супом</t>
  </si>
  <si>
    <t>МАОУ СОШ № 82</t>
  </si>
  <si>
    <t>Директор МАОУ СОШ № 82</t>
  </si>
  <si>
    <t>Туканова Л.А.</t>
  </si>
  <si>
    <t>Комплекс №12 5-11 классы</t>
  </si>
  <si>
    <t>МАОУ СОШ № 96</t>
  </si>
  <si>
    <t>Директор МАОУ СОШ №96</t>
  </si>
  <si>
    <t>Садрисламова В.Ф.</t>
  </si>
  <si>
    <t>Комплекс №8 ГПД  1-4 классы</t>
  </si>
  <si>
    <t>Напиток в асс.</t>
  </si>
  <si>
    <t>МАОУ Гимназия № 120</t>
  </si>
  <si>
    <t>Директор МАОУ Гимназия № 120</t>
  </si>
  <si>
    <t>Писклова И.А.</t>
  </si>
  <si>
    <t>Хохлова А.В.</t>
  </si>
  <si>
    <t>Комплекс №8 ГПД с супом</t>
  </si>
  <si>
    <t>Комплекс Суп/выпечка</t>
  </si>
  <si>
    <t>Комплекс №3/выпечка 1-11 классы</t>
  </si>
  <si>
    <t>Комплекс 5-11 классы. Вариативное меню</t>
  </si>
  <si>
    <t>Голень куриная запеченная в сметанно-томатном соусе</t>
  </si>
  <si>
    <t>9*88</t>
  </si>
  <si>
    <t>Меню на 16 мая  2025 года*</t>
  </si>
  <si>
    <t>МАОУ СОШ № 140</t>
  </si>
  <si>
    <t>Директор МАОУ СОШ №140</t>
  </si>
  <si>
    <t>Журавлева А.В.</t>
  </si>
  <si>
    <t>Каша гречневая рассыпчатая с овощами</t>
  </si>
  <si>
    <t>Каша ячневая молочная с маслом сливочным</t>
  </si>
  <si>
    <t>Каша ячневая молочная с маслом сливочным без сахара</t>
  </si>
  <si>
    <t>Кофейный напиток без сахара</t>
  </si>
  <si>
    <t>Каша ячневая безмолочная с маслом растительным и отрубями</t>
  </si>
  <si>
    <t>Напиток ассорти из красных ягод без сахара</t>
  </si>
  <si>
    <t xml:space="preserve">Рассольник Ленинградский </t>
  </si>
  <si>
    <t xml:space="preserve">Жаркое по-домашнему с птицей </t>
  </si>
  <si>
    <t xml:space="preserve">Чудинова С.С.	</t>
  </si>
  <si>
    <t>Нестерова Л.А.</t>
  </si>
  <si>
    <t>Шницель куриный</t>
  </si>
  <si>
    <t>Рис с овощами</t>
  </si>
  <si>
    <t>Комплекс №8 1-4 ГПД с супом</t>
  </si>
  <si>
    <t>ГПД СВО</t>
  </si>
  <si>
    <t>Салат из отварной  свеклы с соленым огурцом и куриным яйцом</t>
  </si>
  <si>
    <t>Кукуруза консервированная</t>
  </si>
  <si>
    <t xml:space="preserve"> Салат из отварной  свеклы с сол. огурцом и куриным яйцом</t>
  </si>
  <si>
    <t xml:space="preserve">Салат из отварной свеклы с сол.огурцом </t>
  </si>
  <si>
    <t xml:space="preserve">Рассольник Ленинградский без картофеля со сметаной </t>
  </si>
  <si>
    <t>Птица по-столичному</t>
  </si>
  <si>
    <t>Комплекс №2  5-11 классы (безмолочное меню)</t>
  </si>
  <si>
    <t>Меню на 16 января 2026 года*</t>
  </si>
  <si>
    <t>МАОУ Гимназия № 5</t>
  </si>
  <si>
    <t>Директор МАОУ Гимназия № 5</t>
  </si>
  <si>
    <t>Сорокина А.Ф.</t>
  </si>
  <si>
    <t>Комплекс суп 185</t>
  </si>
  <si>
    <t>Комплекс  выпечка 185</t>
  </si>
  <si>
    <t>МАОУ СОШ № 55</t>
  </si>
  <si>
    <t>Директор МАОУ СОШ № 55</t>
  </si>
  <si>
    <t>Шаерман Л.В.</t>
  </si>
  <si>
    <t>МАОУ СОШ № 154</t>
  </si>
  <si>
    <t>Директор МАОУ СОШ № 154</t>
  </si>
  <si>
    <t>Валамина О.В.</t>
  </si>
  <si>
    <t>Комплекс №2, 1-3 класс</t>
  </si>
  <si>
    <t>Белоцерковская А.Р.</t>
  </si>
  <si>
    <t>меню подписано в электронном виде</t>
  </si>
  <si>
    <t>Сок в асс.</t>
  </si>
  <si>
    <t>Комплекс №13 с супом и булочкой</t>
  </si>
  <si>
    <t>МАОУ гимназия №161</t>
  </si>
  <si>
    <t>Директор МАОУ №161</t>
  </si>
  <si>
    <t>и.о.директора МАОУ СОШ №181</t>
  </si>
  <si>
    <t>Омлет натуральный с маслом сливочным</t>
  </si>
  <si>
    <t>Бутерброд с маслом 20/10 г (батон витаминизированный)</t>
  </si>
  <si>
    <t>Хлеб ржаной</t>
  </si>
  <si>
    <t>Фрукт свежий</t>
  </si>
  <si>
    <t>7/13</t>
  </si>
  <si>
    <t>Салат из белокочанной капусты с кукурузой и растительным маслом</t>
  </si>
  <si>
    <t>6/65</t>
  </si>
  <si>
    <t>9/17</t>
  </si>
  <si>
    <t>Плов из птицы (филе бедра куриного) с куркумой</t>
  </si>
  <si>
    <t>11/7</t>
  </si>
  <si>
    <t>Хлеб пшеничный витаминизированный</t>
  </si>
  <si>
    <t>Суп-пюре из разных овощей с гренками</t>
  </si>
  <si>
    <t>Закуска витаминка (с огурцом)</t>
  </si>
  <si>
    <t>Бутерброд с маслом на батоне витаминизированном 20/10 г</t>
  </si>
  <si>
    <t>12/8</t>
  </si>
  <si>
    <t>Соус из голубики</t>
  </si>
  <si>
    <t>1/57</t>
  </si>
  <si>
    <t>Бутерброд с сыром и маслом сливочным на батоне витаминизированном 20/10/10 г</t>
  </si>
  <si>
    <t>2/57</t>
  </si>
  <si>
    <t>11/59</t>
  </si>
  <si>
    <t>Бутерброд с сыром и маслом на батоне витаминизированном 20/15/15 г</t>
  </si>
  <si>
    <t xml:space="preserve">4/57 </t>
  </si>
  <si>
    <t>Яйцо отварное</t>
  </si>
  <si>
    <t>2/78</t>
  </si>
  <si>
    <t>Чай лимонный</t>
  </si>
  <si>
    <t>6/65-1</t>
  </si>
  <si>
    <t>Суп-пюре из разных овощей  без молока</t>
  </si>
  <si>
    <t>1/50</t>
  </si>
  <si>
    <t>4/56</t>
  </si>
  <si>
    <t>11/17-1</t>
  </si>
  <si>
    <t>130</t>
  </si>
  <si>
    <t xml:space="preserve"> Салат из белокочанной капусты с кукурузой и растительным маслом без сахара</t>
  </si>
  <si>
    <t xml:space="preserve">Суп-пюре из разных овощей </t>
  </si>
  <si>
    <t>11/79</t>
  </si>
  <si>
    <t>Напиток из вишни без сахара</t>
  </si>
  <si>
    <t>4/58 (2018 № 2/6-1)</t>
  </si>
  <si>
    <t>Омлет безмолочный запеченный или паровой</t>
  </si>
  <si>
    <t>11/17</t>
  </si>
  <si>
    <t xml:space="preserve">Котлета мясная </t>
  </si>
  <si>
    <t>Бедро куриное запеченное</t>
  </si>
  <si>
    <t>Люля-кебаб из свинины и курицы запеченный</t>
  </si>
  <si>
    <t>Картофель по-деревенски с куркумой</t>
  </si>
  <si>
    <t>Прокопеня С.В.</t>
  </si>
  <si>
    <t>Меню на 2 октября 2026 года*</t>
  </si>
  <si>
    <t>Комплекс №11 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</si>
</sst>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&quot;р.&quot;_-;\-* #,##0.00&quot;р.&quot;_-;_-* \-??&quot;р.&quot;_-;_-@_-"/>
    <numFmt numFmtId="165" formatCode="_-* #,##0&quot;р.&quot;_-;\-* #,##0&quot;р.&quot;_-;_-* &quot;-р.&quot;_-;_-@_-"/>
    <numFmt numFmtId="166" formatCode="_-* #,##0.00\ _₽_-;\-* #,##0.00\ _₽_-;_-* \-??\ _₽_-;_-@_-"/>
    <numFmt numFmtId="167" formatCode="[$-419]dd/mm/yyyy"/>
    <numFmt numFmtId="168" formatCode="0.0"/>
  </numFmts>
  <fonts count="27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3"/>
      <color rgb="FF000000"/>
      <name val="Times New Roman"/>
      <family val="1"/>
      <charset val="1"/>
    </font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4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4"/>
      <name val="Times New Roman"/>
      <family val="1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1">
    <xf numFmtId="0" fontId="0" fillId="0" borderId="0"/>
    <xf numFmtId="164" fontId="13" fillId="0" borderId="0" applyBorder="0" applyProtection="0"/>
    <xf numFmtId="164" fontId="1" fillId="0" borderId="0" applyBorder="0" applyProtection="0"/>
    <xf numFmtId="164" fontId="2" fillId="0" borderId="0" applyBorder="0" applyProtection="0"/>
    <xf numFmtId="165" fontId="13" fillId="0" borderId="0" applyBorder="0" applyProtection="0"/>
    <xf numFmtId="165" fontId="1" fillId="0" borderId="0" applyBorder="0" applyProtection="0"/>
    <xf numFmtId="165" fontId="2" fillId="0" borderId="0" applyBorder="0" applyProtection="0"/>
    <xf numFmtId="0" fontId="1" fillId="0" borderId="0"/>
    <xf numFmtId="0" fontId="1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9" fontId="13" fillId="0" borderId="0" applyBorder="0" applyProtection="0"/>
    <xf numFmtId="9" fontId="1" fillId="0" borderId="0" applyBorder="0" applyProtection="0"/>
    <xf numFmtId="9" fontId="2" fillId="0" borderId="0" applyBorder="0" applyProtection="0"/>
    <xf numFmtId="166" fontId="13" fillId="0" borderId="0" applyBorder="0" applyProtection="0"/>
    <xf numFmtId="166" fontId="2" fillId="0" borderId="0" applyBorder="0" applyProtection="0"/>
  </cellStyleXfs>
  <cellXfs count="539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0" fillId="0" borderId="0" xfId="0" applyNumberFormat="1"/>
    <xf numFmtId="49" fontId="0" fillId="3" borderId="2" xfId="0" applyNumberFormat="1" applyFill="1" applyBorder="1" applyProtection="1">
      <protection locked="0"/>
    </xf>
    <xf numFmtId="167" fontId="0" fillId="3" borderId="2" xfId="0" applyNumberFormat="1" applyFill="1" applyBorder="1" applyProtection="1">
      <protection locked="0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49" fontId="0" fillId="0" borderId="4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3" borderId="7" xfId="0" applyFill="1" applyBorder="1" applyAlignment="1" applyProtection="1">
      <alignment horizontal="center" vertical="center"/>
      <protection locked="0"/>
    </xf>
    <xf numFmtId="49" fontId="0" fillId="3" borderId="7" xfId="0" applyNumberFormat="1" applyFill="1" applyBorder="1" applyAlignment="1" applyProtection="1">
      <alignment horizontal="center" vertical="center" wrapText="1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168" fontId="0" fillId="3" borderId="7" xfId="0" applyNumberFormat="1" applyFill="1" applyBorder="1" applyAlignment="1" applyProtection="1">
      <alignment horizontal="center" vertical="center"/>
      <protection locked="0"/>
    </xf>
    <xf numFmtId="168" fontId="0" fillId="3" borderId="8" xfId="0" applyNumberFormat="1" applyFill="1" applyBorder="1" applyAlignment="1" applyProtection="1">
      <alignment horizontal="center" vertical="center"/>
      <protection locked="0"/>
    </xf>
    <xf numFmtId="0" fontId="0" fillId="0" borderId="2" xfId="0" applyFont="1" applyBorder="1" applyAlignment="1">
      <alignment horizontal="center" vertical="center"/>
    </xf>
    <xf numFmtId="0" fontId="0" fillId="3" borderId="2" xfId="0" applyFill="1" applyBorder="1" applyProtection="1">
      <protection locked="0"/>
    </xf>
    <xf numFmtId="0" fontId="0" fillId="3" borderId="9" xfId="0" applyFill="1" applyBorder="1" applyProtection="1">
      <protection locked="0"/>
    </xf>
    <xf numFmtId="49" fontId="0" fillId="3" borderId="7" xfId="0" applyNumberFormat="1" applyFill="1" applyBorder="1" applyAlignment="1" applyProtection="1">
      <alignment horizontal="center" vertical="center"/>
      <protection locked="0"/>
    </xf>
    <xf numFmtId="0" fontId="0" fillId="0" borderId="10" xfId="0" applyFont="1" applyBorder="1"/>
    <xf numFmtId="0" fontId="0" fillId="2" borderId="11" xfId="0" applyFont="1" applyFill="1" applyBorder="1"/>
    <xf numFmtId="49" fontId="0" fillId="3" borderId="11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49" fontId="0" fillId="3" borderId="15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49" fontId="0" fillId="3" borderId="17" xfId="0" applyNumberFormat="1" applyFill="1" applyBorder="1" applyAlignment="1" applyProtection="1">
      <alignment horizontal="center" vertical="center"/>
      <protection locked="0"/>
    </xf>
    <xf numFmtId="2" fontId="0" fillId="3" borderId="17" xfId="0" applyNumberFormat="1" applyFill="1" applyBorder="1" applyAlignment="1" applyProtection="1">
      <alignment horizontal="center" vertical="center"/>
      <protection locked="0"/>
    </xf>
    <xf numFmtId="168" fontId="0" fillId="3" borderId="17" xfId="0" applyNumberFormat="1" applyFill="1" applyBorder="1" applyAlignment="1" applyProtection="1">
      <alignment horizontal="center" vertical="center"/>
      <protection locked="0"/>
    </xf>
    <xf numFmtId="168" fontId="0" fillId="3" borderId="18" xfId="0" applyNumberFormat="1" applyFill="1" applyBorder="1" applyAlignment="1" applyProtection="1">
      <alignment horizontal="center" vertical="center"/>
      <protection locked="0"/>
    </xf>
    <xf numFmtId="167" fontId="0" fillId="3" borderId="2" xfId="0" applyNumberFormat="1" applyFill="1" applyBorder="1" applyAlignment="1" applyProtection="1">
      <alignment horizontal="right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alignment horizontal="center" vertical="center"/>
      <protection locked="0"/>
    </xf>
    <xf numFmtId="49" fontId="0" fillId="3" borderId="17" xfId="0" applyNumberFormat="1" applyFill="1" applyBorder="1" applyAlignment="1" applyProtection="1">
      <alignment horizontal="center" vertical="center" wrapText="1"/>
      <protection locked="0"/>
    </xf>
    <xf numFmtId="0" fontId="11" fillId="0" borderId="0" xfId="0" applyFont="1" applyBorder="1"/>
    <xf numFmtId="49" fontId="11" fillId="0" borderId="0" xfId="0" applyNumberFormat="1" applyFont="1" applyBorder="1"/>
    <xf numFmtId="0" fontId="3" fillId="0" borderId="7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/>
    <xf numFmtId="49" fontId="3" fillId="0" borderId="2" xfId="0" applyNumberFormat="1" applyFont="1" applyBorder="1" applyAlignment="1">
      <alignment horizontal="center" vertical="center" wrapText="1"/>
    </xf>
    <xf numFmtId="0" fontId="0" fillId="3" borderId="7" xfId="0" applyNumberForma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2" fontId="3" fillId="0" borderId="2" xfId="7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2" fontId="0" fillId="3" borderId="7" xfId="0" applyNumberFormat="1" applyFill="1" applyBorder="1" applyAlignment="1" applyProtection="1">
      <alignment horizontal="center" vertical="center" wrapText="1"/>
      <protection locked="0"/>
    </xf>
    <xf numFmtId="2" fontId="0" fillId="3" borderId="8" xfId="0" applyNumberForma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2" fontId="7" fillId="4" borderId="2" xfId="0" applyNumberFormat="1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2" fontId="7" fillId="4" borderId="2" xfId="1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2" fontId="7" fillId="4" borderId="2" xfId="10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3" fillId="0" borderId="2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49" fontId="0" fillId="3" borderId="11" xfId="0" applyNumberFormat="1" applyFill="1" applyBorder="1" applyAlignment="1" applyProtection="1">
      <alignment horizontal="center" vertical="center" wrapText="1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8" fontId="0" fillId="3" borderId="11" xfId="0" applyNumberFormat="1" applyFill="1" applyBorder="1" applyAlignment="1" applyProtection="1">
      <alignment horizontal="center" vertical="center"/>
      <protection locked="0"/>
    </xf>
    <xf numFmtId="168" fontId="0" fillId="3" borderId="12" xfId="0" applyNumberFormat="1" applyFill="1" applyBorder="1" applyAlignment="1" applyProtection="1">
      <alignment horizontal="center" vertical="center"/>
      <protection locked="0"/>
    </xf>
    <xf numFmtId="0" fontId="0" fillId="0" borderId="14" xfId="0" applyFont="1" applyBorder="1"/>
    <xf numFmtId="0" fontId="0" fillId="0" borderId="15" xfId="0" applyFont="1" applyBorder="1" applyAlignment="1">
      <alignment horizontal="center" vertical="center"/>
    </xf>
    <xf numFmtId="49" fontId="0" fillId="3" borderId="11" xfId="0" applyNumberForma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/>
    </xf>
    <xf numFmtId="0" fontId="5" fillId="4" borderId="0" xfId="0" applyFont="1" applyFill="1" applyBorder="1" applyAlignment="1">
      <alignment vertical="center"/>
    </xf>
    <xf numFmtId="0" fontId="0" fillId="4" borderId="0" xfId="0" applyFill="1"/>
    <xf numFmtId="0" fontId="0" fillId="4" borderId="2" xfId="0" applyFill="1" applyBorder="1"/>
    <xf numFmtId="2" fontId="0" fillId="4" borderId="0" xfId="0" applyNumberFormat="1" applyFill="1"/>
    <xf numFmtId="0" fontId="0" fillId="4" borderId="0" xfId="0" applyFill="1" applyBorder="1"/>
    <xf numFmtId="0" fontId="7" fillId="4" borderId="2" xfId="0" applyNumberFormat="1" applyFont="1" applyFill="1" applyBorder="1" applyAlignment="1">
      <alignment horizontal="center" vertical="center"/>
    </xf>
    <xf numFmtId="0" fontId="4" fillId="4" borderId="0" xfId="0" applyFont="1" applyFill="1"/>
    <xf numFmtId="0" fontId="0" fillId="4" borderId="0" xfId="0" applyFill="1" applyAlignment="1"/>
    <xf numFmtId="0" fontId="7" fillId="4" borderId="0" xfId="0" applyFont="1" applyFill="1" applyAlignment="1">
      <alignment horizontal="left"/>
    </xf>
    <xf numFmtId="0" fontId="7" fillId="4" borderId="1" xfId="0" applyFont="1" applyFill="1" applyBorder="1"/>
    <xf numFmtId="0" fontId="7" fillId="4" borderId="0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right"/>
    </xf>
    <xf numFmtId="0" fontId="8" fillId="4" borderId="0" xfId="0" applyFont="1" applyFill="1" applyBorder="1" applyAlignment="1">
      <alignment horizontal="center"/>
    </xf>
    <xf numFmtId="2" fontId="7" fillId="4" borderId="0" xfId="0" applyNumberFormat="1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 vertical="center" wrapText="1"/>
    </xf>
    <xf numFmtId="0" fontId="0" fillId="4" borderId="23" xfId="0" applyFill="1" applyBorder="1"/>
    <xf numFmtId="0" fontId="3" fillId="0" borderId="2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9" fillId="4" borderId="9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0" fontId="0" fillId="4" borderId="9" xfId="0" applyFill="1" applyBorder="1"/>
    <xf numFmtId="2" fontId="7" fillId="4" borderId="0" xfId="10" applyNumberFormat="1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2" fontId="9" fillId="0" borderId="2" xfId="0" applyNumberFormat="1" applyFont="1" applyFill="1" applyBorder="1" applyAlignment="1">
      <alignment horizontal="center"/>
    </xf>
    <xf numFmtId="2" fontId="9" fillId="0" borderId="2" xfId="1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20" fillId="0" borderId="0" xfId="0" applyFont="1" applyFill="1" applyAlignment="1">
      <alignment horizontal="center" vertical="center"/>
    </xf>
    <xf numFmtId="0" fontId="17" fillId="0" borderId="0" xfId="0" applyFont="1" applyFill="1"/>
    <xf numFmtId="49" fontId="18" fillId="0" borderId="7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2" fontId="17" fillId="0" borderId="0" xfId="0" applyNumberFormat="1" applyFont="1" applyFill="1"/>
    <xf numFmtId="0" fontId="16" fillId="0" borderId="2" xfId="0" applyFont="1" applyFill="1" applyBorder="1" applyAlignment="1">
      <alignment horizontal="center"/>
    </xf>
    <xf numFmtId="0" fontId="17" fillId="0" borderId="0" xfId="0" applyFont="1" applyFill="1" applyBorder="1"/>
    <xf numFmtId="2" fontId="17" fillId="0" borderId="0" xfId="0" applyNumberFormat="1" applyFont="1" applyFill="1" applyBorder="1"/>
    <xf numFmtId="0" fontId="17" fillId="0" borderId="0" xfId="0" applyFont="1" applyFill="1" applyBorder="1" applyAlignment="1">
      <alignment vertical="center"/>
    </xf>
    <xf numFmtId="2" fontId="9" fillId="0" borderId="7" xfId="10" applyNumberFormat="1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vertical="center"/>
    </xf>
    <xf numFmtId="2" fontId="19" fillId="0" borderId="2" xfId="8" applyNumberFormat="1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vertical="center" wrapText="1"/>
    </xf>
    <xf numFmtId="2" fontId="19" fillId="0" borderId="9" xfId="0" applyNumberFormat="1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horizontal="left" vertical="center"/>
    </xf>
    <xf numFmtId="0" fontId="18" fillId="0" borderId="2" xfId="0" applyFont="1" applyFill="1" applyBorder="1" applyAlignment="1">
      <alignment horizontal="center"/>
    </xf>
    <xf numFmtId="0" fontId="17" fillId="0" borderId="2" xfId="0" applyFont="1" applyFill="1" applyBorder="1"/>
    <xf numFmtId="2" fontId="9" fillId="0" borderId="2" xfId="1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Alignment="1">
      <alignment vertic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/>
    <xf numFmtId="0" fontId="9" fillId="0" borderId="0" xfId="0" applyFont="1" applyFill="1" applyAlignment="1">
      <alignment horizontal="right"/>
    </xf>
    <xf numFmtId="0" fontId="9" fillId="0" borderId="0" xfId="0" applyFont="1" applyFill="1"/>
    <xf numFmtId="0" fontId="9" fillId="0" borderId="1" xfId="0" applyFont="1" applyFill="1" applyBorder="1"/>
    <xf numFmtId="1" fontId="19" fillId="0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2" fontId="23" fillId="0" borderId="2" xfId="10" applyNumberFormat="1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/>
    </xf>
    <xf numFmtId="2" fontId="23" fillId="0" borderId="2" xfId="0" applyNumberFormat="1" applyFont="1" applyFill="1" applyBorder="1" applyAlignment="1">
      <alignment horizontal="center"/>
    </xf>
    <xf numFmtId="49" fontId="23" fillId="0" borderId="2" xfId="0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vertical="center" wrapText="1"/>
    </xf>
    <xf numFmtId="2" fontId="23" fillId="4" borderId="2" xfId="10" applyNumberFormat="1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/>
    </xf>
    <xf numFmtId="2" fontId="9" fillId="4" borderId="2" xfId="10" applyNumberFormat="1" applyFont="1" applyFill="1" applyBorder="1" applyAlignment="1">
      <alignment horizontal="center"/>
    </xf>
    <xf numFmtId="0" fontId="17" fillId="4" borderId="0" xfId="0" applyFont="1" applyFill="1"/>
    <xf numFmtId="2" fontId="23" fillId="4" borderId="2" xfId="0" applyNumberFormat="1" applyFont="1" applyFill="1" applyBorder="1" applyAlignment="1">
      <alignment horizontal="center"/>
    </xf>
    <xf numFmtId="49" fontId="23" fillId="4" borderId="2" xfId="0" applyNumberFormat="1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2" fontId="9" fillId="4" borderId="2" xfId="0" applyNumberFormat="1" applyFont="1" applyFill="1" applyBorder="1" applyAlignment="1">
      <alignment horizontal="center"/>
    </xf>
    <xf numFmtId="2" fontId="17" fillId="4" borderId="0" xfId="0" applyNumberFormat="1" applyFont="1" applyFill="1"/>
    <xf numFmtId="2" fontId="9" fillId="4" borderId="2" xfId="10" applyNumberFormat="1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17" fillId="4" borderId="2" xfId="0" applyFont="1" applyFill="1" applyBorder="1"/>
    <xf numFmtId="0" fontId="14" fillId="4" borderId="2" xfId="0" applyFont="1" applyFill="1" applyBorder="1" applyAlignment="1">
      <alignment horizontal="center"/>
    </xf>
    <xf numFmtId="0" fontId="22" fillId="4" borderId="2" xfId="0" applyFont="1" applyFill="1" applyBorder="1" applyAlignment="1">
      <alignment vertical="center" wrapText="1"/>
    </xf>
    <xf numFmtId="0" fontId="18" fillId="4" borderId="0" xfId="0" applyFont="1" applyFill="1"/>
    <xf numFmtId="0" fontId="18" fillId="4" borderId="2" xfId="0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vertical="center" wrapText="1"/>
    </xf>
    <xf numFmtId="2" fontId="9" fillId="4" borderId="7" xfId="10" applyNumberFormat="1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/>
    </xf>
    <xf numFmtId="2" fontId="9" fillId="4" borderId="7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/>
    </xf>
    <xf numFmtId="0" fontId="5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center" vertical="center"/>
    </xf>
    <xf numFmtId="0" fontId="19" fillId="4" borderId="9" xfId="0" applyFont="1" applyFill="1" applyBorder="1" applyAlignment="1">
      <alignment horizontal="center" wrapText="1"/>
    </xf>
    <xf numFmtId="0" fontId="19" fillId="4" borderId="9" xfId="0" applyFont="1" applyFill="1" applyBorder="1" applyAlignment="1">
      <alignment horizontal="center" vertical="center" wrapText="1"/>
    </xf>
    <xf numFmtId="0" fontId="9" fillId="4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18" fillId="4" borderId="2" xfId="0" applyFont="1" applyFill="1" applyBorder="1" applyAlignment="1">
      <alignment horizontal="center"/>
    </xf>
    <xf numFmtId="49" fontId="18" fillId="4" borderId="7" xfId="0" applyNumberFormat="1" applyFont="1" applyFill="1" applyBorder="1" applyAlignment="1">
      <alignment horizontal="center" vertical="center" wrapText="1"/>
    </xf>
    <xf numFmtId="0" fontId="17" fillId="4" borderId="0" xfId="0" applyFont="1" applyFill="1" applyAlignment="1">
      <alignment vertical="center"/>
    </xf>
    <xf numFmtId="0" fontId="20" fillId="4" borderId="0" xfId="0" applyFont="1" applyFill="1" applyAlignment="1">
      <alignment vertical="center"/>
    </xf>
    <xf numFmtId="2" fontId="23" fillId="4" borderId="2" xfId="0" applyNumberFormat="1" applyFont="1" applyFill="1" applyBorder="1" applyAlignment="1">
      <alignment horizontal="center" vertical="center"/>
    </xf>
    <xf numFmtId="0" fontId="17" fillId="4" borderId="0" xfId="0" applyFont="1" applyFill="1" applyBorder="1"/>
    <xf numFmtId="2" fontId="17" fillId="4" borderId="0" xfId="0" applyNumberFormat="1" applyFont="1" applyFill="1" applyBorder="1"/>
    <xf numFmtId="0" fontId="14" fillId="4" borderId="2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vertical="center"/>
    </xf>
    <xf numFmtId="2" fontId="19" fillId="4" borderId="2" xfId="8" applyNumberFormat="1" applyFont="1" applyFill="1" applyBorder="1" applyAlignment="1">
      <alignment horizontal="center" vertical="center"/>
    </xf>
    <xf numFmtId="0" fontId="19" fillId="4" borderId="9" xfId="0" applyFont="1" applyFill="1" applyBorder="1" applyAlignment="1">
      <alignment vertical="center" wrapText="1"/>
    </xf>
    <xf numFmtId="2" fontId="19" fillId="4" borderId="9" xfId="0" applyNumberFormat="1" applyFont="1" applyFill="1" applyBorder="1" applyAlignment="1">
      <alignment horizontal="center" vertical="center"/>
    </xf>
    <xf numFmtId="2" fontId="24" fillId="4" borderId="9" xfId="8" applyNumberFormat="1" applyFont="1" applyFill="1" applyBorder="1" applyAlignment="1">
      <alignment horizontal="center" vertical="center"/>
    </xf>
    <xf numFmtId="0" fontId="24" fillId="4" borderId="9" xfId="0" applyFont="1" applyFill="1" applyBorder="1" applyAlignment="1">
      <alignment horizontal="center" vertical="center" wrapText="1"/>
    </xf>
    <xf numFmtId="2" fontId="24" fillId="4" borderId="2" xfId="0" applyNumberFormat="1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 wrapText="1"/>
    </xf>
    <xf numFmtId="2" fontId="24" fillId="4" borderId="9" xfId="0" applyNumberFormat="1" applyFont="1" applyFill="1" applyBorder="1" applyAlignment="1">
      <alignment horizontal="center" vertical="center"/>
    </xf>
    <xf numFmtId="0" fontId="24" fillId="4" borderId="9" xfId="8" applyNumberFormat="1" applyFont="1" applyFill="1" applyBorder="1" applyAlignment="1">
      <alignment horizontal="center" vertical="center"/>
    </xf>
    <xf numFmtId="0" fontId="24" fillId="4" borderId="9" xfId="8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right"/>
    </xf>
    <xf numFmtId="0" fontId="18" fillId="4" borderId="0" xfId="0" applyFont="1" applyFill="1" applyAlignment="1">
      <alignment horizontal="center"/>
    </xf>
    <xf numFmtId="0" fontId="19" fillId="4" borderId="0" xfId="0" applyFont="1" applyFill="1"/>
    <xf numFmtId="0" fontId="9" fillId="4" borderId="0" xfId="0" applyFont="1" applyFill="1" applyAlignment="1">
      <alignment horizontal="right"/>
    </xf>
    <xf numFmtId="0" fontId="9" fillId="4" borderId="0" xfId="0" applyFont="1" applyFill="1" applyBorder="1" applyAlignment="1">
      <alignment horizontal="center"/>
    </xf>
    <xf numFmtId="2" fontId="9" fillId="4" borderId="0" xfId="0" applyNumberFormat="1" applyFont="1" applyFill="1" applyBorder="1" applyAlignment="1">
      <alignment horizontal="center"/>
    </xf>
    <xf numFmtId="0" fontId="9" fillId="4" borderId="1" xfId="0" applyFont="1" applyFill="1" applyBorder="1"/>
    <xf numFmtId="0" fontId="9" fillId="4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/>
    </xf>
    <xf numFmtId="0" fontId="18" fillId="4" borderId="0" xfId="0" applyFont="1" applyFill="1" applyAlignment="1">
      <alignment horizontal="left" vertical="center"/>
    </xf>
    <xf numFmtId="0" fontId="9" fillId="4" borderId="7" xfId="0" applyFont="1" applyFill="1" applyBorder="1" applyAlignment="1">
      <alignment horizontal="center" vertical="center"/>
    </xf>
    <xf numFmtId="2" fontId="3" fillId="4" borderId="2" xfId="0" applyNumberFormat="1" applyFont="1" applyFill="1" applyBorder="1" applyAlignment="1">
      <alignment horizontal="center" vertical="center"/>
    </xf>
    <xf numFmtId="2" fontId="19" fillId="4" borderId="9" xfId="8" applyNumberFormat="1" applyFont="1" applyFill="1" applyBorder="1" applyAlignment="1">
      <alignment horizontal="center" vertical="center"/>
    </xf>
    <xf numFmtId="2" fontId="19" fillId="4" borderId="2" xfId="0" applyNumberFormat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0" fontId="19" fillId="4" borderId="9" xfId="8" applyNumberFormat="1" applyFont="1" applyFill="1" applyBorder="1" applyAlignment="1">
      <alignment horizontal="center" vertical="center"/>
    </xf>
    <xf numFmtId="0" fontId="19" fillId="4" borderId="9" xfId="8" applyFont="1" applyFill="1" applyBorder="1" applyAlignment="1">
      <alignment horizontal="center" vertical="center" wrapText="1"/>
    </xf>
    <xf numFmtId="0" fontId="18" fillId="4" borderId="0" xfId="0" applyFont="1" applyFill="1" applyAlignment="1">
      <alignment vertical="center"/>
    </xf>
    <xf numFmtId="1" fontId="19" fillId="4" borderId="2" xfId="0" applyNumberFormat="1" applyFont="1" applyFill="1" applyBorder="1" applyAlignment="1">
      <alignment horizontal="center" vertical="center"/>
    </xf>
    <xf numFmtId="0" fontId="9" fillId="4" borderId="0" xfId="0" applyFont="1" applyFill="1"/>
    <xf numFmtId="0" fontId="16" fillId="4" borderId="0" xfId="0" applyFont="1" applyFill="1" applyBorder="1" applyAlignment="1">
      <alignment horizontal="center"/>
    </xf>
    <xf numFmtId="2" fontId="19" fillId="0" borderId="2" xfId="0" applyNumberFormat="1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2" fontId="23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vertical="center"/>
    </xf>
    <xf numFmtId="0" fontId="17" fillId="5" borderId="0" xfId="0" applyFont="1" applyFill="1" applyAlignment="1">
      <alignment vertical="center"/>
    </xf>
    <xf numFmtId="0" fontId="17" fillId="5" borderId="0" xfId="0" applyFont="1" applyFill="1"/>
    <xf numFmtId="0" fontId="17" fillId="5" borderId="2" xfId="0" applyFont="1" applyFill="1" applyBorder="1"/>
    <xf numFmtId="2" fontId="9" fillId="5" borderId="2" xfId="1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 wrapText="1"/>
    </xf>
    <xf numFmtId="2" fontId="9" fillId="5" borderId="2" xfId="0" applyNumberFormat="1" applyFont="1" applyFill="1" applyBorder="1" applyAlignment="1">
      <alignment horizontal="center"/>
    </xf>
    <xf numFmtId="2" fontId="9" fillId="5" borderId="2" xfId="10" applyNumberFormat="1" applyFont="1" applyFill="1" applyBorder="1" applyAlignment="1">
      <alignment horizontal="center"/>
    </xf>
    <xf numFmtId="0" fontId="18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/>
    </xf>
    <xf numFmtId="49" fontId="9" fillId="5" borderId="2" xfId="0" applyNumberFormat="1" applyFont="1" applyFill="1" applyBorder="1" applyAlignment="1">
      <alignment horizontal="center" vertical="center" wrapText="1"/>
    </xf>
    <xf numFmtId="2" fontId="17" fillId="5" borderId="0" xfId="0" applyNumberFormat="1" applyFont="1" applyFill="1"/>
    <xf numFmtId="0" fontId="16" fillId="5" borderId="2" xfId="0" applyFont="1" applyFill="1" applyBorder="1" applyAlignment="1">
      <alignment horizontal="center"/>
    </xf>
    <xf numFmtId="0" fontId="22" fillId="5" borderId="2" xfId="0" applyFont="1" applyFill="1" applyBorder="1" applyAlignment="1">
      <alignment horizontal="center" vertical="center" wrapText="1"/>
    </xf>
    <xf numFmtId="2" fontId="23" fillId="5" borderId="2" xfId="10" applyNumberFormat="1" applyFont="1" applyFill="1" applyBorder="1" applyAlignment="1">
      <alignment horizontal="center" vertical="center"/>
    </xf>
    <xf numFmtId="0" fontId="23" fillId="5" borderId="2" xfId="0" applyFont="1" applyFill="1" applyBorder="1" applyAlignment="1">
      <alignment horizontal="center" vertical="center"/>
    </xf>
    <xf numFmtId="0" fontId="23" fillId="5" borderId="2" xfId="0" applyFont="1" applyFill="1" applyBorder="1" applyAlignment="1">
      <alignment horizontal="center" vertical="center" wrapText="1"/>
    </xf>
    <xf numFmtId="2" fontId="23" fillId="5" borderId="2" xfId="0" applyNumberFormat="1" applyFont="1" applyFill="1" applyBorder="1" applyAlignment="1">
      <alignment horizontal="center" vertical="center"/>
    </xf>
    <xf numFmtId="0" fontId="23" fillId="5" borderId="2" xfId="0" applyFont="1" applyFill="1" applyBorder="1" applyAlignment="1">
      <alignment horizontal="center"/>
    </xf>
    <xf numFmtId="2" fontId="23" fillId="5" borderId="2" xfId="0" applyNumberFormat="1" applyFont="1" applyFill="1" applyBorder="1" applyAlignment="1">
      <alignment horizontal="center"/>
    </xf>
    <xf numFmtId="49" fontId="23" fillId="5" borderId="2" xfId="0" applyNumberFormat="1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vertical="center" wrapText="1"/>
    </xf>
    <xf numFmtId="0" fontId="14" fillId="5" borderId="2" xfId="0" applyFont="1" applyFill="1" applyBorder="1" applyAlignment="1">
      <alignment horizontal="center"/>
    </xf>
    <xf numFmtId="0" fontId="18" fillId="5" borderId="0" xfId="0" applyFont="1" applyFill="1"/>
    <xf numFmtId="2" fontId="9" fillId="5" borderId="7" xfId="10" applyNumberFormat="1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 vertical="center"/>
    </xf>
    <xf numFmtId="0" fontId="18" fillId="5" borderId="0" xfId="0" applyFont="1" applyFill="1" applyAlignment="1">
      <alignment vertical="center"/>
    </xf>
    <xf numFmtId="0" fontId="9" fillId="5" borderId="9" xfId="0" applyNumberFormat="1" applyFont="1" applyFill="1" applyBorder="1" applyAlignment="1">
      <alignment horizontal="center" vertical="center"/>
    </xf>
    <xf numFmtId="2" fontId="19" fillId="5" borderId="2" xfId="8" applyNumberFormat="1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vertical="center" wrapText="1"/>
    </xf>
    <xf numFmtId="0" fontId="19" fillId="5" borderId="9" xfId="0" applyFont="1" applyFill="1" applyBorder="1" applyAlignment="1">
      <alignment horizontal="center" vertical="center" wrapText="1"/>
    </xf>
    <xf numFmtId="2" fontId="19" fillId="5" borderId="9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2" fontId="24" fillId="5" borderId="9" xfId="8" applyNumberFormat="1" applyFont="1" applyFill="1" applyBorder="1" applyAlignment="1">
      <alignment horizontal="center" vertical="center"/>
    </xf>
    <xf numFmtId="0" fontId="24" fillId="5" borderId="9" xfId="0" applyFont="1" applyFill="1" applyBorder="1" applyAlignment="1">
      <alignment horizontal="center" vertical="center" wrapText="1"/>
    </xf>
    <xf numFmtId="2" fontId="24" fillId="5" borderId="9" xfId="0" applyNumberFormat="1" applyFont="1" applyFill="1" applyBorder="1" applyAlignment="1">
      <alignment horizontal="center" vertical="center"/>
    </xf>
    <xf numFmtId="0" fontId="24" fillId="5" borderId="9" xfId="8" applyNumberFormat="1" applyFont="1" applyFill="1" applyBorder="1" applyAlignment="1">
      <alignment horizontal="center" vertical="center"/>
    </xf>
    <xf numFmtId="2" fontId="24" fillId="5" borderId="2" xfId="0" applyNumberFormat="1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1" fontId="19" fillId="5" borderId="2" xfId="0" applyNumberFormat="1" applyFont="1" applyFill="1" applyBorder="1" applyAlignment="1">
      <alignment horizontal="center" vertical="center"/>
    </xf>
    <xf numFmtId="0" fontId="24" fillId="5" borderId="9" xfId="8" applyFont="1" applyFill="1" applyBorder="1" applyAlignment="1">
      <alignment horizontal="center" vertical="center" wrapText="1"/>
    </xf>
    <xf numFmtId="0" fontId="18" fillId="5" borderId="0" xfId="0" applyFont="1" applyFill="1" applyAlignment="1">
      <alignment horizontal="center"/>
    </xf>
    <xf numFmtId="0" fontId="19" fillId="5" borderId="0" xfId="0" applyFont="1" applyFill="1"/>
    <xf numFmtId="0" fontId="3" fillId="0" borderId="2" xfId="0" applyFont="1" applyFill="1" applyBorder="1" applyAlignment="1">
      <alignment horizontal="center" vertical="center" wrapText="1"/>
    </xf>
    <xf numFmtId="2" fontId="24" fillId="0" borderId="9" xfId="8" applyNumberFormat="1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 wrapText="1"/>
    </xf>
    <xf numFmtId="2" fontId="24" fillId="0" borderId="9" xfId="0" applyNumberFormat="1" applyFont="1" applyFill="1" applyBorder="1" applyAlignment="1">
      <alignment horizontal="center" vertical="center"/>
    </xf>
    <xf numFmtId="0" fontId="24" fillId="0" borderId="9" xfId="8" applyNumberFormat="1" applyFont="1" applyFill="1" applyBorder="1" applyAlignment="1">
      <alignment horizontal="center" vertical="center"/>
    </xf>
    <xf numFmtId="2" fontId="24" fillId="0" borderId="2" xfId="0" applyNumberFormat="1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 wrapText="1"/>
    </xf>
    <xf numFmtId="0" fontId="24" fillId="0" borderId="9" xfId="8" applyFont="1" applyFill="1" applyBorder="1" applyAlignment="1">
      <alignment horizontal="center" vertical="center" wrapText="1"/>
    </xf>
    <xf numFmtId="2" fontId="18" fillId="0" borderId="0" xfId="0" applyNumberFormat="1" applyFont="1" applyFill="1"/>
    <xf numFmtId="0" fontId="18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right"/>
    </xf>
    <xf numFmtId="0" fontId="16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2" fontId="9" fillId="4" borderId="25" xfId="0" applyNumberFormat="1" applyFont="1" applyFill="1" applyBorder="1" applyAlignment="1">
      <alignment horizontal="center" vertical="center"/>
    </xf>
    <xf numFmtId="2" fontId="18" fillId="0" borderId="9" xfId="0" applyNumberFormat="1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 wrapText="1"/>
    </xf>
    <xf numFmtId="0" fontId="19" fillId="0" borderId="9" xfId="8" applyFont="1" applyFill="1" applyBorder="1" applyAlignment="1">
      <alignment horizontal="center"/>
    </xf>
    <xf numFmtId="2" fontId="18" fillId="0" borderId="2" xfId="0" applyNumberFormat="1" applyFont="1" applyFill="1" applyBorder="1" applyAlignment="1">
      <alignment horizontal="center" vertical="center"/>
    </xf>
    <xf numFmtId="2" fontId="18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2" fontId="18" fillId="4" borderId="9" xfId="0" applyNumberFormat="1" applyFont="1" applyFill="1" applyBorder="1" applyAlignment="1">
      <alignment horizontal="center" vertical="center"/>
    </xf>
    <xf numFmtId="2" fontId="19" fillId="4" borderId="2" xfId="0" applyNumberFormat="1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9" xfId="8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/>
    </xf>
    <xf numFmtId="2" fontId="9" fillId="4" borderId="9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2" fontId="9" fillId="4" borderId="9" xfId="8" applyNumberFormat="1" applyFont="1" applyFill="1" applyBorder="1" applyAlignment="1">
      <alignment horizontal="center" vertical="center"/>
    </xf>
    <xf numFmtId="0" fontId="9" fillId="4" borderId="9" xfId="8" applyFont="1" applyFill="1" applyBorder="1" applyAlignment="1">
      <alignment horizontal="center" vertical="center" wrapText="1"/>
    </xf>
    <xf numFmtId="2" fontId="9" fillId="4" borderId="2" xfId="0" applyNumberFormat="1" applyFont="1" applyFill="1" applyBorder="1" applyAlignment="1">
      <alignment horizontal="center" vertical="center" wrapText="1"/>
    </xf>
    <xf numFmtId="2" fontId="9" fillId="4" borderId="0" xfId="10" applyNumberFormat="1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2" fontId="9" fillId="4" borderId="0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2" fontId="7" fillId="4" borderId="25" xfId="0" applyNumberFormat="1" applyFont="1" applyFill="1" applyBorder="1" applyAlignment="1">
      <alignment horizontal="center" vertical="center"/>
    </xf>
    <xf numFmtId="2" fontId="9" fillId="4" borderId="2" xfId="9" applyNumberFormat="1" applyFont="1" applyFill="1" applyBorder="1" applyAlignment="1">
      <alignment horizontal="center" vertical="center"/>
    </xf>
    <xf numFmtId="2" fontId="18" fillId="4" borderId="9" xfId="8" applyNumberFormat="1" applyFont="1" applyFill="1" applyBorder="1" applyAlignment="1">
      <alignment horizontal="center" vertical="center"/>
    </xf>
    <xf numFmtId="17" fontId="18" fillId="4" borderId="2" xfId="0" applyNumberFormat="1" applyFont="1" applyFill="1" applyBorder="1" applyAlignment="1">
      <alignment horizontal="center" vertical="center" wrapText="1"/>
    </xf>
    <xf numFmtId="0" fontId="25" fillId="4" borderId="0" xfId="0" applyFont="1" applyFill="1" applyAlignment="1">
      <alignment horizontal="center" vertical="center"/>
    </xf>
    <xf numFmtId="0" fontId="9" fillId="7" borderId="2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2" fontId="9" fillId="6" borderId="2" xfId="0" applyNumberFormat="1" applyFont="1" applyFill="1" applyBorder="1" applyAlignment="1">
      <alignment horizontal="center"/>
    </xf>
    <xf numFmtId="0" fontId="9" fillId="8" borderId="2" xfId="0" applyFont="1" applyFill="1" applyBorder="1" applyAlignment="1">
      <alignment horizontal="center"/>
    </xf>
    <xf numFmtId="2" fontId="9" fillId="8" borderId="2" xfId="0" applyNumberFormat="1" applyFont="1" applyFill="1" applyBorder="1" applyAlignment="1">
      <alignment horizontal="center"/>
    </xf>
    <xf numFmtId="0" fontId="17" fillId="9" borderId="0" xfId="0" applyFont="1" applyFill="1"/>
    <xf numFmtId="0" fontId="18" fillId="9" borderId="0" xfId="0" applyFont="1" applyFill="1"/>
    <xf numFmtId="0" fontId="18" fillId="9" borderId="0" xfId="0" applyFont="1" applyFill="1" applyAlignment="1">
      <alignment horizontal="center"/>
    </xf>
    <xf numFmtId="0" fontId="19" fillId="9" borderId="0" xfId="0" applyFont="1" applyFill="1"/>
    <xf numFmtId="0" fontId="19" fillId="4" borderId="2" xfId="0" applyFont="1" applyFill="1" applyBorder="1" applyAlignment="1">
      <alignment vertical="center" wrapText="1"/>
    </xf>
    <xf numFmtId="17" fontId="19" fillId="4" borderId="9" xfId="8" applyNumberFormat="1" applyFont="1" applyFill="1" applyBorder="1" applyAlignment="1">
      <alignment vertical="center"/>
    </xf>
    <xf numFmtId="2" fontId="19" fillId="4" borderId="2" xfId="9" applyNumberFormat="1" applyFont="1" applyFill="1" applyBorder="1" applyAlignment="1">
      <alignment horizontal="center" vertical="center"/>
    </xf>
    <xf numFmtId="17" fontId="19" fillId="4" borderId="2" xfId="0" applyNumberFormat="1" applyFont="1" applyFill="1" applyBorder="1" applyAlignment="1">
      <alignment vertical="center" wrapText="1"/>
    </xf>
    <xf numFmtId="0" fontId="19" fillId="4" borderId="2" xfId="0" applyFont="1" applyFill="1" applyBorder="1" applyAlignment="1">
      <alignment horizontal="left" vertical="center" wrapText="1"/>
    </xf>
    <xf numFmtId="0" fontId="19" fillId="4" borderId="9" xfId="8" applyFont="1" applyFill="1" applyBorder="1" applyAlignment="1">
      <alignment vertical="center" wrapText="1"/>
    </xf>
    <xf numFmtId="0" fontId="19" fillId="4" borderId="9" xfId="0" applyFont="1" applyFill="1" applyBorder="1" applyAlignment="1">
      <alignment horizontal="left" vertical="center" wrapText="1"/>
    </xf>
    <xf numFmtId="0" fontId="19" fillId="4" borderId="9" xfId="0" applyFont="1" applyFill="1" applyBorder="1" applyAlignment="1">
      <alignment wrapText="1"/>
    </xf>
    <xf numFmtId="0" fontId="19" fillId="4" borderId="2" xfId="8" applyFont="1" applyFill="1" applyBorder="1" applyAlignment="1">
      <alignment wrapText="1"/>
    </xf>
    <xf numFmtId="0" fontId="19" fillId="4" borderId="2" xfId="8" applyFont="1" applyFill="1" applyBorder="1" applyAlignment="1">
      <alignment vertical="center" wrapText="1"/>
    </xf>
    <xf numFmtId="0" fontId="19" fillId="4" borderId="9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2" fontId="9" fillId="4" borderId="9" xfId="0" applyNumberFormat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2" fontId="9" fillId="4" borderId="7" xfId="0" applyNumberFormat="1" applyFont="1" applyFill="1" applyBorder="1" applyAlignment="1">
      <alignment horizontal="center"/>
    </xf>
    <xf numFmtId="0" fontId="7" fillId="4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 wrapText="1"/>
    </xf>
    <xf numFmtId="49" fontId="7" fillId="4" borderId="2" xfId="0" applyNumberFormat="1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/>
    </xf>
    <xf numFmtId="0" fontId="18" fillId="4" borderId="2" xfId="0" applyFont="1" applyFill="1" applyBorder="1" applyAlignment="1">
      <alignment horizontal="left" vertical="center" wrapText="1"/>
    </xf>
    <xf numFmtId="0" fontId="18" fillId="4" borderId="9" xfId="0" applyFont="1" applyFill="1" applyBorder="1" applyAlignment="1">
      <alignment horizontal="left" vertical="center" wrapText="1"/>
    </xf>
    <xf numFmtId="49" fontId="9" fillId="4" borderId="2" xfId="0" applyNumberFormat="1" applyFont="1" applyFill="1" applyBorder="1" applyAlignment="1">
      <alignment horizontal="left" vertical="center" wrapText="1"/>
    </xf>
    <xf numFmtId="0" fontId="18" fillId="4" borderId="9" xfId="0" applyFont="1" applyFill="1" applyBorder="1" applyAlignment="1">
      <alignment horizontal="left" wrapText="1"/>
    </xf>
    <xf numFmtId="1" fontId="19" fillId="4" borderId="9" xfId="0" applyNumberFormat="1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vertical="center"/>
    </xf>
    <xf numFmtId="0" fontId="7" fillId="4" borderId="0" xfId="0" applyFont="1" applyFill="1" applyAlignment="1">
      <alignment horizontal="right"/>
    </xf>
    <xf numFmtId="0" fontId="26" fillId="4" borderId="0" xfId="0" applyFont="1" applyFill="1" applyAlignment="1">
      <alignment horizontal="left"/>
    </xf>
    <xf numFmtId="0" fontId="7" fillId="4" borderId="0" xfId="0" applyFont="1" applyFill="1" applyAlignment="1"/>
    <xf numFmtId="0" fontId="9" fillId="4" borderId="7" xfId="0" applyFont="1" applyFill="1" applyBorder="1" applyAlignment="1">
      <alignment horizontal="left" vertical="center"/>
    </xf>
    <xf numFmtId="2" fontId="19" fillId="4" borderId="25" xfId="0" applyNumberFormat="1" applyFont="1" applyFill="1" applyBorder="1" applyAlignment="1">
      <alignment horizontal="center" vertical="center"/>
    </xf>
    <xf numFmtId="0" fontId="9" fillId="4" borderId="0" xfId="0" applyFont="1" applyFill="1" applyBorder="1"/>
    <xf numFmtId="2" fontId="19" fillId="4" borderId="2" xfId="10" applyNumberFormat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left" vertical="center"/>
    </xf>
    <xf numFmtId="2" fontId="4" fillId="4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49" fontId="4" fillId="4" borderId="2" xfId="0" applyNumberFormat="1" applyFont="1" applyFill="1" applyBorder="1" applyAlignment="1">
      <alignment horizontal="left" vertical="center" wrapText="1"/>
    </xf>
    <xf numFmtId="49" fontId="19" fillId="4" borderId="2" xfId="0" applyNumberFormat="1" applyFont="1" applyFill="1" applyBorder="1" applyAlignment="1">
      <alignment horizontal="left" vertical="center" wrapText="1"/>
    </xf>
    <xf numFmtId="0" fontId="9" fillId="4" borderId="22" xfId="0" applyFont="1" applyFill="1" applyBorder="1" applyAlignment="1">
      <alignment horizontal="center" vertical="center"/>
    </xf>
    <xf numFmtId="2" fontId="19" fillId="4" borderId="9" xfId="8" applyNumberFormat="1" applyFont="1" applyFill="1" applyBorder="1" applyAlignment="1">
      <alignment horizontal="left" vertical="center"/>
    </xf>
    <xf numFmtId="49" fontId="3" fillId="4" borderId="2" xfId="0" applyNumberFormat="1" applyFont="1" applyFill="1" applyBorder="1" applyAlignment="1">
      <alignment horizontal="left" vertical="center" wrapText="1"/>
    </xf>
    <xf numFmtId="2" fontId="9" fillId="4" borderId="7" xfId="0" applyNumberFormat="1" applyFont="1" applyFill="1" applyBorder="1" applyAlignment="1">
      <alignment horizontal="center"/>
    </xf>
    <xf numFmtId="0" fontId="8" fillId="4" borderId="2" xfId="0" applyFont="1" applyFill="1" applyBorder="1" applyAlignment="1">
      <alignment horizontal="right"/>
    </xf>
    <xf numFmtId="0" fontId="6" fillId="4" borderId="21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6" fillId="4" borderId="23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right" vertical="center"/>
    </xf>
    <xf numFmtId="0" fontId="20" fillId="4" borderId="1" xfId="0" applyFont="1" applyFill="1" applyBorder="1" applyAlignment="1">
      <alignment horizontal="left" vertical="center" wrapText="1"/>
    </xf>
    <xf numFmtId="0" fontId="20" fillId="4" borderId="0" xfId="0" applyFont="1" applyFill="1" applyBorder="1" applyAlignment="1">
      <alignment horizontal="right" vertical="center" wrapText="1"/>
    </xf>
    <xf numFmtId="0" fontId="20" fillId="4" borderId="0" xfId="0" applyFont="1" applyFill="1" applyBorder="1" applyAlignment="1">
      <alignment horizontal="right" vertical="center"/>
    </xf>
    <xf numFmtId="0" fontId="6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 vertical="center" wrapText="1"/>
    </xf>
    <xf numFmtId="2" fontId="7" fillId="4" borderId="9" xfId="0" applyNumberFormat="1" applyFont="1" applyFill="1" applyBorder="1" applyAlignment="1">
      <alignment horizontal="center"/>
    </xf>
    <xf numFmtId="2" fontId="7" fillId="4" borderId="24" xfId="0" applyNumberFormat="1" applyFont="1" applyFill="1" applyBorder="1" applyAlignment="1">
      <alignment horizontal="center"/>
    </xf>
    <xf numFmtId="2" fontId="7" fillId="4" borderId="7" xfId="0" applyNumberFormat="1" applyFont="1" applyFill="1" applyBorder="1" applyAlignment="1">
      <alignment horizontal="center"/>
    </xf>
    <xf numFmtId="2" fontId="9" fillId="4" borderId="9" xfId="0" applyNumberFormat="1" applyFont="1" applyFill="1" applyBorder="1" applyAlignment="1">
      <alignment horizontal="center"/>
    </xf>
    <xf numFmtId="2" fontId="9" fillId="4" borderId="24" xfId="0" applyNumberFormat="1" applyFont="1" applyFill="1" applyBorder="1" applyAlignment="1">
      <alignment horizontal="center"/>
    </xf>
    <xf numFmtId="2" fontId="9" fillId="4" borderId="7" xfId="0" applyNumberFormat="1" applyFont="1" applyFill="1" applyBorder="1" applyAlignment="1">
      <alignment horizontal="center"/>
    </xf>
    <xf numFmtId="0" fontId="16" fillId="4" borderId="21" xfId="0" applyFont="1" applyFill="1" applyBorder="1" applyAlignment="1">
      <alignment horizontal="right"/>
    </xf>
    <xf numFmtId="0" fontId="16" fillId="4" borderId="22" xfId="0" applyFont="1" applyFill="1" applyBorder="1" applyAlignment="1">
      <alignment horizontal="right"/>
    </xf>
    <xf numFmtId="0" fontId="16" fillId="4" borderId="23" xfId="0" applyFont="1" applyFill="1" applyBorder="1" applyAlignment="1">
      <alignment horizontal="right"/>
    </xf>
    <xf numFmtId="2" fontId="7" fillId="4" borderId="9" xfId="0" applyNumberFormat="1" applyFont="1" applyFill="1" applyBorder="1" applyAlignment="1">
      <alignment horizontal="center" vertical="center"/>
    </xf>
    <xf numFmtId="2" fontId="7" fillId="4" borderId="24" xfId="0" applyNumberFormat="1" applyFont="1" applyFill="1" applyBorder="1" applyAlignment="1">
      <alignment horizontal="center" vertical="center"/>
    </xf>
    <xf numFmtId="2" fontId="7" fillId="4" borderId="7" xfId="0" applyNumberFormat="1" applyFont="1" applyFill="1" applyBorder="1" applyAlignment="1">
      <alignment horizontal="center" vertical="center"/>
    </xf>
    <xf numFmtId="0" fontId="15" fillId="4" borderId="0" xfId="0" applyFont="1" applyFill="1" applyAlignment="1">
      <alignment horizontal="right"/>
    </xf>
    <xf numFmtId="0" fontId="3" fillId="4" borderId="0" xfId="0" applyFont="1" applyFill="1" applyAlignment="1">
      <alignment horizontal="right"/>
    </xf>
    <xf numFmtId="0" fontId="14" fillId="4" borderId="7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6" fillId="4" borderId="2" xfId="0" applyFont="1" applyFill="1" applyBorder="1" applyAlignment="1">
      <alignment horizontal="right"/>
    </xf>
    <xf numFmtId="0" fontId="14" fillId="4" borderId="21" xfId="0" applyFont="1" applyFill="1" applyBorder="1" applyAlignment="1">
      <alignment horizontal="center"/>
    </xf>
    <xf numFmtId="0" fontId="14" fillId="4" borderId="22" xfId="0" applyFont="1" applyFill="1" applyBorder="1" applyAlignment="1">
      <alignment horizontal="center"/>
    </xf>
    <xf numFmtId="0" fontId="14" fillId="4" borderId="23" xfId="0" applyFont="1" applyFill="1" applyBorder="1" applyAlignment="1">
      <alignment horizontal="center"/>
    </xf>
    <xf numFmtId="0" fontId="20" fillId="4" borderId="0" xfId="0" applyFont="1" applyFill="1" applyBorder="1" applyAlignment="1">
      <alignment horizontal="left" vertical="center"/>
    </xf>
    <xf numFmtId="0" fontId="18" fillId="4" borderId="0" xfId="0" applyFont="1" applyFill="1" applyBorder="1" applyAlignment="1">
      <alignment horizontal="right" vertical="center"/>
    </xf>
    <xf numFmtId="0" fontId="20" fillId="4" borderId="1" xfId="0" applyFont="1" applyFill="1" applyBorder="1" applyAlignment="1">
      <alignment horizontal="right" vertical="center" wrapText="1"/>
    </xf>
    <xf numFmtId="0" fontId="18" fillId="4" borderId="2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wrapText="1"/>
    </xf>
    <xf numFmtId="0" fontId="18" fillId="4" borderId="2" xfId="0" applyFont="1" applyFill="1" applyBorder="1" applyAlignment="1">
      <alignment horizontal="center" vertical="center" wrapText="1"/>
    </xf>
    <xf numFmtId="2" fontId="9" fillId="4" borderId="9" xfId="0" applyNumberFormat="1" applyFont="1" applyFill="1" applyBorder="1" applyAlignment="1">
      <alignment horizontal="center" vertical="center"/>
    </xf>
    <xf numFmtId="2" fontId="9" fillId="4" borderId="24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center" vertical="center"/>
    </xf>
    <xf numFmtId="2" fontId="14" fillId="4" borderId="21" xfId="0" applyNumberFormat="1" applyFont="1" applyFill="1" applyBorder="1" applyAlignment="1">
      <alignment horizontal="center" vertical="center"/>
    </xf>
    <xf numFmtId="2" fontId="14" fillId="4" borderId="22" xfId="0" applyNumberFormat="1" applyFont="1" applyFill="1" applyBorder="1" applyAlignment="1">
      <alignment horizontal="center" vertical="center"/>
    </xf>
    <xf numFmtId="2" fontId="14" fillId="4" borderId="23" xfId="0" applyNumberFormat="1" applyFont="1" applyFill="1" applyBorder="1" applyAlignment="1">
      <alignment horizontal="center" vertical="center"/>
    </xf>
    <xf numFmtId="0" fontId="0" fillId="3" borderId="2" xfId="0" applyFill="1" applyBorder="1" applyAlignment="1" applyProtection="1">
      <alignment horizontal="left"/>
      <protection locked="0"/>
    </xf>
    <xf numFmtId="0" fontId="14" fillId="4" borderId="26" xfId="0" applyFont="1" applyFill="1" applyBorder="1" applyAlignment="1">
      <alignment horizontal="center"/>
    </xf>
    <xf numFmtId="0" fontId="14" fillId="4" borderId="27" xfId="0" applyFont="1" applyFill="1" applyBorder="1" applyAlignment="1">
      <alignment horizontal="center"/>
    </xf>
    <xf numFmtId="0" fontId="14" fillId="4" borderId="28" xfId="0" applyFont="1" applyFill="1" applyBorder="1" applyAlignment="1">
      <alignment horizontal="center"/>
    </xf>
    <xf numFmtId="0" fontId="14" fillId="4" borderId="21" xfId="0" applyFont="1" applyFill="1" applyBorder="1" applyAlignment="1">
      <alignment horizontal="center" vertical="center"/>
    </xf>
    <xf numFmtId="0" fontId="14" fillId="4" borderId="22" xfId="0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horizontal="right" vertical="center"/>
    </xf>
    <xf numFmtId="2" fontId="14" fillId="4" borderId="2" xfId="0" applyNumberFormat="1" applyFont="1" applyFill="1" applyBorder="1" applyAlignment="1">
      <alignment horizontal="center" vertical="center"/>
    </xf>
    <xf numFmtId="0" fontId="21" fillId="4" borderId="0" xfId="0" applyFont="1" applyFill="1" applyBorder="1" applyAlignment="1">
      <alignment horizontal="right" vertical="center"/>
    </xf>
    <xf numFmtId="0" fontId="5" fillId="4" borderId="0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16" fillId="0" borderId="2" xfId="0" applyFont="1" applyFill="1" applyBorder="1" applyAlignment="1">
      <alignment horizontal="right"/>
    </xf>
    <xf numFmtId="2" fontId="9" fillId="0" borderId="9" xfId="0" applyNumberFormat="1" applyFont="1" applyFill="1" applyBorder="1" applyAlignment="1">
      <alignment horizontal="center"/>
    </xf>
    <xf numFmtId="2" fontId="9" fillId="0" borderId="24" xfId="0" applyNumberFormat="1" applyFont="1" applyFill="1" applyBorder="1" applyAlignment="1">
      <alignment horizontal="center"/>
    </xf>
    <xf numFmtId="2" fontId="14" fillId="0" borderId="2" xfId="0" applyNumberFormat="1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horizontal="right"/>
    </xf>
    <xf numFmtId="0" fontId="16" fillId="0" borderId="22" xfId="0" applyFont="1" applyFill="1" applyBorder="1" applyAlignment="1">
      <alignment horizontal="right"/>
    </xf>
    <xf numFmtId="0" fontId="16" fillId="0" borderId="23" xfId="0" applyFont="1" applyFill="1" applyBorder="1" applyAlignment="1">
      <alignment horizontal="right"/>
    </xf>
    <xf numFmtId="0" fontId="14" fillId="0" borderId="21" xfId="0" applyFont="1" applyFill="1" applyBorder="1" applyAlignment="1">
      <alignment horizontal="center"/>
    </xf>
    <xf numFmtId="0" fontId="14" fillId="0" borderId="22" xfId="0" applyFont="1" applyFill="1" applyBorder="1" applyAlignment="1">
      <alignment horizontal="center"/>
    </xf>
    <xf numFmtId="0" fontId="14" fillId="0" borderId="23" xfId="0" applyFont="1" applyFill="1" applyBorder="1" applyAlignment="1">
      <alignment horizontal="center"/>
    </xf>
    <xf numFmtId="2" fontId="9" fillId="0" borderId="7" xfId="0" applyNumberFormat="1" applyFont="1" applyFill="1" applyBorder="1" applyAlignment="1">
      <alignment horizontal="center"/>
    </xf>
    <xf numFmtId="0" fontId="16" fillId="5" borderId="21" xfId="0" applyFont="1" applyFill="1" applyBorder="1" applyAlignment="1">
      <alignment horizontal="right"/>
    </xf>
    <xf numFmtId="0" fontId="16" fillId="5" borderId="22" xfId="0" applyFont="1" applyFill="1" applyBorder="1" applyAlignment="1">
      <alignment horizontal="right"/>
    </xf>
    <xf numFmtId="0" fontId="16" fillId="5" borderId="23" xfId="0" applyFont="1" applyFill="1" applyBorder="1" applyAlignment="1">
      <alignment horizontal="right"/>
    </xf>
    <xf numFmtId="2" fontId="14" fillId="5" borderId="21" xfId="0" applyNumberFormat="1" applyFont="1" applyFill="1" applyBorder="1" applyAlignment="1">
      <alignment horizontal="center" vertical="center"/>
    </xf>
    <xf numFmtId="2" fontId="14" fillId="5" borderId="22" xfId="0" applyNumberFormat="1" applyFont="1" applyFill="1" applyBorder="1" applyAlignment="1">
      <alignment horizontal="center" vertical="center"/>
    </xf>
    <xf numFmtId="2" fontId="14" fillId="5" borderId="23" xfId="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 wrapText="1"/>
    </xf>
    <xf numFmtId="2" fontId="9" fillId="5" borderId="9" xfId="0" applyNumberFormat="1" applyFont="1" applyFill="1" applyBorder="1" applyAlignment="1">
      <alignment horizontal="center"/>
    </xf>
    <xf numFmtId="2" fontId="9" fillId="5" borderId="24" xfId="0" applyNumberFormat="1" applyFont="1" applyFill="1" applyBorder="1" applyAlignment="1">
      <alignment horizontal="center"/>
    </xf>
    <xf numFmtId="2" fontId="9" fillId="5" borderId="7" xfId="0" applyNumberFormat="1" applyFont="1" applyFill="1" applyBorder="1" applyAlignment="1">
      <alignment horizontal="center"/>
    </xf>
    <xf numFmtId="0" fontId="16" fillId="5" borderId="2" xfId="0" applyFont="1" applyFill="1" applyBorder="1" applyAlignment="1">
      <alignment horizontal="right"/>
    </xf>
    <xf numFmtId="2" fontId="14" fillId="5" borderId="2" xfId="0" applyNumberFormat="1" applyFont="1" applyFill="1" applyBorder="1" applyAlignment="1">
      <alignment horizontal="center" vertical="center"/>
    </xf>
    <xf numFmtId="2" fontId="14" fillId="0" borderId="21" xfId="0" applyNumberFormat="1" applyFont="1" applyFill="1" applyBorder="1" applyAlignment="1">
      <alignment horizontal="center" vertical="center"/>
    </xf>
    <xf numFmtId="2" fontId="14" fillId="0" borderId="22" xfId="0" applyNumberFormat="1" applyFont="1" applyFill="1" applyBorder="1" applyAlignment="1">
      <alignment horizontal="center" vertical="center"/>
    </xf>
    <xf numFmtId="2" fontId="14" fillId="0" borderId="23" xfId="0" applyNumberFormat="1" applyFont="1" applyFill="1" applyBorder="1" applyAlignment="1">
      <alignment horizontal="center" vertical="center"/>
    </xf>
    <xf numFmtId="0" fontId="14" fillId="5" borderId="21" xfId="0" applyFont="1" applyFill="1" applyBorder="1" applyAlignment="1">
      <alignment horizontal="center"/>
    </xf>
    <xf numFmtId="0" fontId="14" fillId="5" borderId="22" xfId="0" applyFont="1" applyFill="1" applyBorder="1" applyAlignment="1">
      <alignment horizontal="center"/>
    </xf>
    <xf numFmtId="0" fontId="14" fillId="5" borderId="23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right" vertical="center"/>
    </xf>
    <xf numFmtId="0" fontId="19" fillId="0" borderId="0" xfId="0" applyFont="1" applyFill="1" applyBorder="1" applyAlignment="1">
      <alignment horizontal="right" vertical="center"/>
    </xf>
    <xf numFmtId="0" fontId="20" fillId="0" borderId="1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right" vertical="center" wrapText="1"/>
    </xf>
    <xf numFmtId="0" fontId="20" fillId="0" borderId="1" xfId="0" applyFont="1" applyFill="1" applyBorder="1" applyAlignment="1">
      <alignment horizontal="right" vertical="center" wrapText="1"/>
    </xf>
    <xf numFmtId="0" fontId="9" fillId="4" borderId="9" xfId="0" applyFont="1" applyFill="1" applyBorder="1" applyAlignment="1">
      <alignment horizontal="center"/>
    </xf>
    <xf numFmtId="0" fontId="9" fillId="4" borderId="24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18" fillId="4" borderId="0" xfId="0" applyFont="1" applyFill="1" applyAlignment="1">
      <alignment horizontal="right" vertical="center"/>
    </xf>
    <xf numFmtId="0" fontId="9" fillId="4" borderId="9" xfId="0" applyFont="1" applyFill="1" applyBorder="1" applyAlignment="1">
      <alignment horizontal="center" wrapText="1"/>
    </xf>
    <xf numFmtId="0" fontId="9" fillId="4" borderId="24" xfId="0" applyFont="1" applyFill="1" applyBorder="1" applyAlignment="1">
      <alignment horizontal="center" wrapText="1"/>
    </xf>
    <xf numFmtId="0" fontId="9" fillId="4" borderId="7" xfId="0" applyFont="1" applyFill="1" applyBorder="1" applyAlignment="1">
      <alignment horizontal="center" wrapText="1"/>
    </xf>
  </cellXfs>
  <cellStyles count="21">
    <cellStyle name="Денежный [0] 2" xfId="4" xr:uid="{00000000-0005-0000-0000-000000000000}"/>
    <cellStyle name="Денежный [0] 2 2" xfId="5" xr:uid="{00000000-0005-0000-0000-000001000000}"/>
    <cellStyle name="Денежный [0] 2 3" xfId="6" xr:uid="{00000000-0005-0000-0000-000002000000}"/>
    <cellStyle name="Денежный 2" xfId="1" xr:uid="{00000000-0005-0000-0000-000003000000}"/>
    <cellStyle name="Денежный 2 2" xfId="2" xr:uid="{00000000-0005-0000-0000-000004000000}"/>
    <cellStyle name="Денежный 2 3" xfId="3" xr:uid="{00000000-0005-0000-0000-000005000000}"/>
    <cellStyle name="Обычный" xfId="0" builtinId="0"/>
    <cellStyle name="Обычный 2" xfId="7" xr:uid="{00000000-0005-0000-0000-000007000000}"/>
    <cellStyle name="Обычный 3" xfId="8" xr:uid="{00000000-0005-0000-0000-000008000000}"/>
    <cellStyle name="Обычный 3 2" xfId="9" xr:uid="{00000000-0005-0000-0000-000009000000}"/>
    <cellStyle name="Обычный 3 2 2" xfId="10" xr:uid="{00000000-0005-0000-0000-00000A000000}"/>
    <cellStyle name="Обычный 3 2 3" xfId="11" xr:uid="{00000000-0005-0000-0000-00000B000000}"/>
    <cellStyle name="Обычный 3 3" xfId="12" xr:uid="{00000000-0005-0000-0000-00000C000000}"/>
    <cellStyle name="Обычный 3 3 2" xfId="13" xr:uid="{00000000-0005-0000-0000-00000D000000}"/>
    <cellStyle name="Обычный 4" xfId="14" xr:uid="{00000000-0005-0000-0000-00000E000000}"/>
    <cellStyle name="Обычный 5" xfId="15" xr:uid="{00000000-0005-0000-0000-00000F000000}"/>
    <cellStyle name="Процентный 2" xfId="16" xr:uid="{00000000-0005-0000-0000-000010000000}"/>
    <cellStyle name="Процентный 2 2" xfId="17" xr:uid="{00000000-0005-0000-0000-000011000000}"/>
    <cellStyle name="Процентный 2 3" xfId="18" xr:uid="{00000000-0005-0000-0000-000012000000}"/>
    <cellStyle name="Финансовый 2" xfId="19" xr:uid="{00000000-0005-0000-0000-000013000000}"/>
    <cellStyle name="Финансовый 2 2" xfId="20" xr:uid="{00000000-0005-0000-0000-000014000000}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externalLink" Target="externalLinks/externalLink5.xml"/><Relationship Id="rId50" Type="http://schemas.openxmlformats.org/officeDocument/2006/relationships/externalLink" Target="externalLinks/externalLink8.xml"/><Relationship Id="rId55" Type="http://schemas.openxmlformats.org/officeDocument/2006/relationships/externalLink" Target="externalLinks/externalLink1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3.xml"/><Relationship Id="rId53" Type="http://schemas.openxmlformats.org/officeDocument/2006/relationships/externalLink" Target="externalLinks/externalLink11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1.xml"/><Relationship Id="rId48" Type="http://schemas.openxmlformats.org/officeDocument/2006/relationships/externalLink" Target="externalLinks/externalLink6.xml"/><Relationship Id="rId56" Type="http://schemas.openxmlformats.org/officeDocument/2006/relationships/externalLink" Target="externalLinks/externalLink14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4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7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2.xml"/><Relationship Id="rId52" Type="http://schemas.openxmlformats.org/officeDocument/2006/relationships/externalLink" Target="externalLinks/externalLink10.xml"/><Relationship Id="rId6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7;&#1077;&#1085;&#1090;&#1103;&#1073;&#1088;&#1100;%202024\06.09.%20&#1085;1&#1076;5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7;&#1077;&#1085;&#1090;&#1103;&#1073;&#1088;&#1100;%202023\04.09.%20&#1085;1&#1076;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3;&#1086;&#1103;&#1073;&#1088;&#1100;%202022\17.11.%20&#1085;2&#1076;4\17.11&#1085;2&#1076;4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\&#1082;&#1086;&#1084;&#1092;&#1086;&#1088;&#1090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71;&#1085;&#1074;&#1072;&#1088;&#1100;%202022\11.01%20&#1085;1&#1076;2\&#1082;&#1072;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\&#1082;&#1086;&#1084;&#1092;&#1086;&#1088;&#1090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71;&#1085;&#1074;&#1072;&#1088;&#1100;%202022\12.01%20&#1085;1&#1076;3\3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7;&#1077;&#1085;&#1090;&#1103;&#1073;&#1088;&#1100;%202021\01.09%201&#1085;3&#1076;\1.09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4;&#1082;&#1090;&#1103;&#1073;&#1088;&#1100;%202022\14.10%20&#1085;1&#1076;5\14.10-%202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4;&#1082;&#1090;&#1103;&#1073;&#1088;&#1100;%202022\11.10%20&#1085;1&#1076;2\11.10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O: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7;&#1077;&#1085;&#1090;&#1103;&#1073;&#1088;&#1100;%202021\01.09%201&#1085;3&#1076;\1.09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7;&#1077;&#1085;&#1090;&#1103;&#1073;&#1088;&#1100;%202023\01.09.%20&#1085;1&#1076;5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10.54.90.10\&#1082;&#1086;&#1084;&#1092;&#1086;&#1088;&#1090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71;&#1085;&#1074;&#1072;&#1088;&#1100;%202022\11.01%20&#1085;1&#1076;2\&#1082;&#1072;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4;&#1082;&#1090;&#1103;&#1073;&#1088;&#1100;%202022\17.10%20&#1085;2&#1076;1\17.10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7;&#1077;&#1085;&#1090;&#1103;&#1073;&#1088;&#1100;%202024\04.09.%20&#1085;1&#1076;3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54.90.100\Private\&#1054;&#1073;&#1097;&#1072;&#1103;\&#1057;&#1086;&#1094;&#1087;&#1080;&#1090;&#1072;&#1085;&#1080;&#1077;\&#1058;&#1077;&#1093;&#1085;&#1086;&#1083;&#1086;&#1075;&#1080;&#1095;&#1077;&#1089;&#1082;&#1080;&#1077;%20&#1082;&#1072;&#1088;&#1090;&#1099;%20(&#1084;&#1086;&#1080;%20&#1096;&#1082;&#1086;&#1083;&#1100;&#1085;&#1099;&#1077;)\&#1064;&#1082;&#1086;&#1083;&#1100;&#1085;&#1086;&#1077;%20&#1087;&#1080;&#1090;&#1072;&#1085;&#1080;&#1077;\&#1040;&#1048;&#1057;\&#1052;&#1077;&#1085;&#1102;%20&#1085;&#1072;%20&#1076;&#1086;&#1089;&#1082;&#1080;%20(&#1092;&#1086;&#1088;&#1084;&#1072;&#1090;%20PDF)\&#1054;&#1082;&#1090;&#1103;&#1073;&#1088;&#1100;%202022\13.10%20&#1085;1&#1076;4\13.1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Реестр"/>
      <sheetName val="16 Мл"/>
      <sheetName val="16 Ст"/>
      <sheetName val="17 Мл"/>
      <sheetName val="17 Ст"/>
      <sheetName val="19 Мл"/>
      <sheetName val="19 Ст"/>
      <sheetName val="64 Мл"/>
      <sheetName val="85 Мл"/>
      <sheetName val="64 Ст"/>
      <sheetName val="85 Ст"/>
      <sheetName val="109 Мл"/>
      <sheetName val="109 Ст"/>
      <sheetName val="181 Ст"/>
      <sheetName val="181 Мл"/>
      <sheetName val="АЭ Мл"/>
      <sheetName val="АЭ Ст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 и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>Гуляш из свинины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  <cell r="K223">
            <v>0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  <row r="227">
          <cell r="A227" t="str">
            <v>Пирожок сдобный с повидлом и курагой</v>
          </cell>
          <cell r="B227" t="str">
            <v>100</v>
          </cell>
          <cell r="C227">
            <v>4.9000000000000004</v>
          </cell>
          <cell r="D227">
            <v>4.3</v>
          </cell>
          <cell r="E227">
            <v>40.9</v>
          </cell>
          <cell r="F227">
            <v>222</v>
          </cell>
          <cell r="G227">
            <v>20.13</v>
          </cell>
          <cell r="H227">
            <v>11.56</v>
          </cell>
          <cell r="I227">
            <v>1.66</v>
          </cell>
          <cell r="J227">
            <v>4.4000000000000004</v>
          </cell>
          <cell r="K227" t="str">
            <v>13*55</v>
          </cell>
        </row>
        <row r="228">
          <cell r="A228" t="str">
            <v>Напиток из черноплодной рябины</v>
          </cell>
          <cell r="B228">
            <v>200</v>
          </cell>
          <cell r="C228">
            <v>0.1</v>
          </cell>
          <cell r="D228">
            <v>0.1</v>
          </cell>
          <cell r="E228">
            <v>21.2</v>
          </cell>
          <cell r="F228">
            <v>83</v>
          </cell>
          <cell r="G228">
            <v>2.72</v>
          </cell>
          <cell r="H228">
            <v>0.67</v>
          </cell>
          <cell r="I228">
            <v>7.0000000000000007E-2</v>
          </cell>
          <cell r="J228">
            <v>0.6</v>
          </cell>
          <cell r="K228" t="str">
            <v>11*1</v>
          </cell>
        </row>
        <row r="229">
          <cell r="A229" t="str">
            <v>Филе куриное тушенное с овощами</v>
          </cell>
          <cell r="B229" t="str">
            <v>100</v>
          </cell>
          <cell r="C229">
            <v>28.25</v>
          </cell>
          <cell r="D229">
            <v>12.25</v>
          </cell>
          <cell r="E229">
            <v>19.75</v>
          </cell>
          <cell r="F229">
            <v>305</v>
          </cell>
          <cell r="G229">
            <v>39.362499999999997</v>
          </cell>
          <cell r="H229">
            <v>55.4375</v>
          </cell>
          <cell r="I229">
            <v>2.7749999999999999</v>
          </cell>
          <cell r="J229">
            <v>11.3375</v>
          </cell>
          <cell r="K229" t="str">
            <v>9*60</v>
          </cell>
        </row>
        <row r="230">
          <cell r="A230" t="str">
            <v>Бутерброд с маслом 20/5</v>
          </cell>
          <cell r="B230" t="str">
            <v>25</v>
          </cell>
          <cell r="C230">
            <v>1.3</v>
          </cell>
          <cell r="D230">
            <v>10.8</v>
          </cell>
          <cell r="E230">
            <v>8.1999999999999993</v>
          </cell>
          <cell r="F230">
            <v>135.19999999999999</v>
          </cell>
          <cell r="G230">
            <v>1.36</v>
          </cell>
          <cell r="H230">
            <v>4.66</v>
          </cell>
          <cell r="I230">
            <v>3.5999999999999997E-2</v>
          </cell>
          <cell r="J230">
            <v>4.3999999999999997E-2</v>
          </cell>
          <cell r="K230" t="str">
            <v>1*50</v>
          </cell>
        </row>
        <row r="231">
          <cell r="A231" t="str">
            <v>Плов из птицы</v>
          </cell>
          <cell r="B231">
            <v>200</v>
          </cell>
          <cell r="C231">
            <v>17.37</v>
          </cell>
          <cell r="D231">
            <v>9.0540000000000003</v>
          </cell>
          <cell r="E231">
            <v>30.789000000000001</v>
          </cell>
          <cell r="F231">
            <v>274.12200000000001</v>
          </cell>
          <cell r="G231">
            <v>16.596</v>
          </cell>
          <cell r="H231">
            <v>48.545999999999999</v>
          </cell>
          <cell r="I231">
            <v>2.0790000000000002</v>
          </cell>
          <cell r="J231">
            <v>1.2509999999999999</v>
          </cell>
          <cell r="K231" t="str">
            <v>8*59</v>
          </cell>
        </row>
        <row r="234">
          <cell r="A234" t="str">
            <v>Каша жидкая рисовая с маслом без сахара</v>
          </cell>
          <cell r="B234" t="str">
            <v>250</v>
          </cell>
          <cell r="C234">
            <v>8.6999999999999993</v>
          </cell>
          <cell r="D234">
            <v>11.3</v>
          </cell>
          <cell r="E234">
            <v>43.5</v>
          </cell>
          <cell r="F234">
            <v>310</v>
          </cell>
          <cell r="G234">
            <v>102.59</v>
          </cell>
          <cell r="H234">
            <v>18.5</v>
          </cell>
          <cell r="I234">
            <v>0.25</v>
          </cell>
          <cell r="J234">
            <v>0.44</v>
          </cell>
          <cell r="K234" t="str">
            <v>2*61</v>
          </cell>
        </row>
        <row r="235">
          <cell r="A235" t="str">
            <v>Какао с молоком  без сахара</v>
          </cell>
          <cell r="B235">
            <v>200</v>
          </cell>
          <cell r="C235">
            <v>3.6</v>
          </cell>
          <cell r="D235">
            <v>2.7</v>
          </cell>
          <cell r="E235">
            <v>22.9</v>
          </cell>
          <cell r="F235">
            <v>127</v>
          </cell>
          <cell r="G235">
            <v>55.32</v>
          </cell>
          <cell r="H235">
            <v>13.49</v>
          </cell>
          <cell r="I235">
            <v>0.45</v>
          </cell>
          <cell r="J235">
            <v>0.26</v>
          </cell>
          <cell r="K235" t="str">
            <v>11*51</v>
          </cell>
        </row>
        <row r="236">
          <cell r="A236" t="str">
            <v>Каша овсяная вязкая жидкая на воде с растительным маслом</v>
          </cell>
          <cell r="B236" t="str">
            <v>250</v>
          </cell>
          <cell r="C236">
            <v>8.6999999999999993</v>
          </cell>
          <cell r="D236">
            <v>11.3</v>
          </cell>
          <cell r="E236">
            <v>43.5</v>
          </cell>
          <cell r="F236">
            <v>310</v>
          </cell>
          <cell r="G236">
            <v>102.59</v>
          </cell>
          <cell r="H236">
            <v>18.5</v>
          </cell>
          <cell r="I236">
            <v>0.25</v>
          </cell>
          <cell r="J236">
            <v>0.44</v>
          </cell>
          <cell r="K236" t="str">
            <v>2*61</v>
          </cell>
        </row>
        <row r="237">
          <cell r="A237" t="str">
            <v>Горошек зеленый</v>
          </cell>
          <cell r="B237" t="str">
            <v>100</v>
          </cell>
          <cell r="C237">
            <v>1.6</v>
          </cell>
          <cell r="D237">
            <v>8</v>
          </cell>
          <cell r="E237">
            <v>11.9</v>
          </cell>
          <cell r="F237">
            <v>125</v>
          </cell>
          <cell r="G237">
            <v>46.43</v>
          </cell>
          <cell r="H237">
            <v>15.26</v>
          </cell>
          <cell r="I237">
            <v>1.03</v>
          </cell>
          <cell r="J237">
            <v>38.86</v>
          </cell>
          <cell r="K237" t="str">
            <v>7*38</v>
          </cell>
        </row>
        <row r="238">
          <cell r="A238" t="str">
            <v>Чай без сахара</v>
          </cell>
          <cell r="B238">
            <v>200</v>
          </cell>
          <cell r="C238">
            <v>0.2</v>
          </cell>
          <cell r="D238">
            <v>0</v>
          </cell>
          <cell r="E238">
            <v>13.7</v>
          </cell>
          <cell r="F238">
            <v>53</v>
          </cell>
          <cell r="G238">
            <v>0.2</v>
          </cell>
          <cell r="H238">
            <v>0</v>
          </cell>
          <cell r="I238">
            <v>0.02</v>
          </cell>
          <cell r="J238">
            <v>0</v>
          </cell>
          <cell r="K238" t="str">
            <v>11*56</v>
          </cell>
        </row>
        <row r="239">
          <cell r="A239" t="str">
            <v>Салат из отварной свеклы с яблоками и растительным маслом (без сахара)</v>
          </cell>
          <cell r="B239" t="str">
            <v>100</v>
          </cell>
          <cell r="C239">
            <v>2.08</v>
          </cell>
          <cell r="D239">
            <v>5.84</v>
          </cell>
          <cell r="E239">
            <v>5.2</v>
          </cell>
          <cell r="F239">
            <v>84</v>
          </cell>
          <cell r="G239">
            <v>65.12</v>
          </cell>
          <cell r="H239">
            <v>16.8</v>
          </cell>
          <cell r="I239">
            <v>0.96</v>
          </cell>
          <cell r="J239">
            <v>1.52</v>
          </cell>
          <cell r="K239" t="str">
            <v>7*34</v>
          </cell>
        </row>
        <row r="240">
          <cell r="A240" t="str">
            <v>Отвар из яблок и кураги без сахара</v>
          </cell>
          <cell r="B240">
            <v>200</v>
          </cell>
          <cell r="C240">
            <v>0.4</v>
          </cell>
          <cell r="D240">
            <v>0</v>
          </cell>
          <cell r="E240">
            <v>32.5</v>
          </cell>
          <cell r="F240">
            <v>126</v>
          </cell>
          <cell r="G240">
            <v>0.6</v>
          </cell>
          <cell r="H240">
            <v>0</v>
          </cell>
          <cell r="I240">
            <v>0.1</v>
          </cell>
          <cell r="J240">
            <v>0</v>
          </cell>
          <cell r="K240" t="str">
            <v>11*58</v>
          </cell>
        </row>
        <row r="241">
          <cell r="A241" t="str">
            <v xml:space="preserve">Омлет натуральный с маслом сливочным </v>
          </cell>
          <cell r="B241" t="str">
            <v>200</v>
          </cell>
          <cell r="C241">
            <v>18.399999999999999</v>
          </cell>
          <cell r="D241">
            <v>27</v>
          </cell>
          <cell r="E241">
            <v>4.8</v>
          </cell>
          <cell r="F241">
            <v>335</v>
          </cell>
          <cell r="G241">
            <v>80.59</v>
          </cell>
          <cell r="H241">
            <v>12.5</v>
          </cell>
          <cell r="I241">
            <v>1.56</v>
          </cell>
          <cell r="J241">
            <v>0.27</v>
          </cell>
          <cell r="K241" t="str">
            <v>4*56</v>
          </cell>
        </row>
        <row r="242">
          <cell r="A242" t="str">
            <v>Омлет безмолочный запеченный или паровой</v>
          </cell>
          <cell r="B242" t="str">
            <v>200</v>
          </cell>
          <cell r="C242">
            <v>18.399999999999999</v>
          </cell>
          <cell r="D242">
            <v>27</v>
          </cell>
          <cell r="E242">
            <v>4.8</v>
          </cell>
          <cell r="F242">
            <v>335</v>
          </cell>
          <cell r="G242">
            <v>80.59</v>
          </cell>
          <cell r="H242">
            <v>12.5</v>
          </cell>
          <cell r="I242">
            <v>1.56</v>
          </cell>
          <cell r="J242">
            <v>0.27</v>
          </cell>
          <cell r="K242" t="str">
            <v>4*56</v>
          </cell>
        </row>
        <row r="243">
          <cell r="A243" t="str">
            <v xml:space="preserve">Биточки мясокапустные </v>
          </cell>
          <cell r="B243" t="str">
            <v>100</v>
          </cell>
          <cell r="C243">
            <v>28.25</v>
          </cell>
          <cell r="D243">
            <v>12.25</v>
          </cell>
          <cell r="E243">
            <v>19.75</v>
          </cell>
          <cell r="F243">
            <v>305</v>
          </cell>
          <cell r="G243">
            <v>39.362499999999997</v>
          </cell>
          <cell r="H243">
            <v>55.4375</v>
          </cell>
          <cell r="I243">
            <v>2.7749999999999999</v>
          </cell>
          <cell r="J243">
            <v>11.3375</v>
          </cell>
          <cell r="K243" t="str">
            <v>9*60</v>
          </cell>
        </row>
        <row r="244">
          <cell r="A244" t="str">
            <v>Каша жидкая геркулесовая с маслом без сахара</v>
          </cell>
          <cell r="B244" t="str">
            <v>250</v>
          </cell>
          <cell r="C244">
            <v>8.6999999999999993</v>
          </cell>
          <cell r="D244">
            <v>11.3</v>
          </cell>
          <cell r="E244">
            <v>43.5</v>
          </cell>
          <cell r="F244">
            <v>310</v>
          </cell>
          <cell r="G244">
            <v>102.59</v>
          </cell>
          <cell r="H244">
            <v>18.5</v>
          </cell>
          <cell r="I244">
            <v>0.25</v>
          </cell>
          <cell r="J244">
            <v>0.44</v>
          </cell>
          <cell r="K244" t="str">
            <v>2*61</v>
          </cell>
        </row>
        <row r="245">
          <cell r="A245" t="str">
            <v>Кофейный напиток без сахара</v>
          </cell>
          <cell r="B245">
            <v>200</v>
          </cell>
          <cell r="C245">
            <v>0.2</v>
          </cell>
          <cell r="D245">
            <v>0</v>
          </cell>
          <cell r="E245">
            <v>13.7</v>
          </cell>
          <cell r="F245">
            <v>53</v>
          </cell>
          <cell r="G245">
            <v>0.2</v>
          </cell>
          <cell r="H245">
            <v>0</v>
          </cell>
          <cell r="I245">
            <v>0.02</v>
          </cell>
          <cell r="J245">
            <v>0</v>
          </cell>
          <cell r="K245" t="str">
            <v>11*56</v>
          </cell>
        </row>
        <row r="246">
          <cell r="A246" t="str">
            <v>Шницель мясной</v>
          </cell>
          <cell r="B246" t="str">
            <v>100</v>
          </cell>
          <cell r="C246">
            <v>12.9</v>
          </cell>
          <cell r="D246">
            <v>13.1</v>
          </cell>
          <cell r="E246">
            <v>11.8</v>
          </cell>
          <cell r="F246">
            <v>217</v>
          </cell>
          <cell r="G246">
            <v>19.89</v>
          </cell>
          <cell r="H246">
            <v>23.01</v>
          </cell>
          <cell r="I246">
            <v>2.13</v>
          </cell>
          <cell r="J246">
            <v>3</v>
          </cell>
          <cell r="K246" t="str">
            <v>8*79</v>
          </cell>
        </row>
        <row r="247">
          <cell r="A247" t="str">
            <v>Ризотто с овощами</v>
          </cell>
          <cell r="B247" t="str">
            <v>100</v>
          </cell>
          <cell r="C247">
            <v>2.4</v>
          </cell>
          <cell r="D247">
            <v>3.7</v>
          </cell>
          <cell r="E247">
            <v>23.4</v>
          </cell>
          <cell r="F247">
            <v>138</v>
          </cell>
          <cell r="G247">
            <v>8.9</v>
          </cell>
          <cell r="H247">
            <v>17.739999999999998</v>
          </cell>
          <cell r="I247">
            <v>0.41</v>
          </cell>
          <cell r="J247">
            <v>0.31</v>
          </cell>
          <cell r="K247" t="str">
            <v>5*7</v>
          </cell>
        </row>
        <row r="248">
          <cell r="A248" t="str">
            <v>Закуска из припущенной моркови и яблок с растительным маслом</v>
          </cell>
          <cell r="B248" t="str">
            <v>100</v>
          </cell>
          <cell r="C248">
            <v>1</v>
          </cell>
          <cell r="D248">
            <v>6</v>
          </cell>
          <cell r="E248">
            <v>9.4</v>
          </cell>
          <cell r="F248">
            <v>99</v>
          </cell>
          <cell r="G248">
            <v>22.3</v>
          </cell>
          <cell r="H248">
            <v>0</v>
          </cell>
          <cell r="I248">
            <v>0.9</v>
          </cell>
          <cell r="J248">
            <v>3</v>
          </cell>
          <cell r="K248" t="str">
            <v>7*65</v>
          </cell>
        </row>
        <row r="249">
          <cell r="A249" t="str">
            <v>Биточек из мяса говядины и курицы</v>
          </cell>
          <cell r="B249" t="str">
            <v>100</v>
          </cell>
          <cell r="C249">
            <v>13.68</v>
          </cell>
          <cell r="D249">
            <v>11.36</v>
          </cell>
          <cell r="E249">
            <v>4.24</v>
          </cell>
          <cell r="F249">
            <v>174.4</v>
          </cell>
          <cell r="G249">
            <v>11.183999999999999</v>
          </cell>
          <cell r="H249">
            <v>15.304</v>
          </cell>
          <cell r="I249">
            <v>1.1519999999999999</v>
          </cell>
          <cell r="J249">
            <v>0.14399999999999999</v>
          </cell>
          <cell r="K249" t="str">
            <v>8*23</v>
          </cell>
        </row>
        <row r="250">
          <cell r="A250" t="str">
            <v>Жареный лагман с говядиной</v>
          </cell>
          <cell r="B250" t="str">
            <v>200</v>
          </cell>
          <cell r="C250">
            <v>22.6</v>
          </cell>
          <cell r="D250">
            <v>25</v>
          </cell>
          <cell r="E250">
            <v>41.4</v>
          </cell>
          <cell r="F250">
            <v>488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 t="str">
            <v>8*60</v>
          </cell>
        </row>
        <row r="251">
          <cell r="A251" t="str">
            <v>Компот из свежих яблок</v>
          </cell>
          <cell r="B251" t="str">
            <v>200</v>
          </cell>
          <cell r="C251">
            <v>0.4</v>
          </cell>
          <cell r="D251">
            <v>0.2</v>
          </cell>
          <cell r="E251">
            <v>16.100000000000001</v>
          </cell>
          <cell r="F251">
            <v>69</v>
          </cell>
          <cell r="G251">
            <v>14.3</v>
          </cell>
          <cell r="H251">
            <v>8.4</v>
          </cell>
          <cell r="I251">
            <v>1</v>
          </cell>
          <cell r="J251">
            <v>1.7</v>
          </cell>
          <cell r="K251" t="str">
            <v>11*73</v>
          </cell>
        </row>
        <row r="252">
          <cell r="A252" t="str">
            <v>Наггетсы из минтая</v>
          </cell>
          <cell r="B252" t="str">
            <v>100</v>
          </cell>
          <cell r="C252">
            <v>17.579999999999998</v>
          </cell>
          <cell r="D252">
            <v>6.03</v>
          </cell>
          <cell r="E252">
            <v>2.98</v>
          </cell>
          <cell r="F252">
            <v>136.45838000000001</v>
          </cell>
          <cell r="G252">
            <v>95.18</v>
          </cell>
          <cell r="H252">
            <v>66</v>
          </cell>
          <cell r="I252">
            <v>1.1100000000000001</v>
          </cell>
          <cell r="J252">
            <v>2.2999999999999998</v>
          </cell>
          <cell r="K252" t="str">
            <v>10*5</v>
          </cell>
        </row>
        <row r="253">
          <cell r="A253" t="str">
            <v>Рис с овощами</v>
          </cell>
          <cell r="B253" t="str">
            <v>100</v>
          </cell>
          <cell r="C253">
            <v>2.4</v>
          </cell>
          <cell r="D253">
            <v>3.7</v>
          </cell>
          <cell r="E253">
            <v>23.4</v>
          </cell>
          <cell r="F253">
            <v>138</v>
          </cell>
          <cell r="G253">
            <v>8.9</v>
          </cell>
          <cell r="H253">
            <v>17.739999999999998</v>
          </cell>
          <cell r="I253">
            <v>0.41</v>
          </cell>
          <cell r="J253">
            <v>0.31</v>
          </cell>
          <cell r="K253" t="str">
            <v>5*7</v>
          </cell>
        </row>
        <row r="254">
          <cell r="A254" t="str">
            <v>Каша жидкая ячневая с маслом без сахара</v>
          </cell>
          <cell r="B254" t="str">
            <v>250</v>
          </cell>
          <cell r="C254">
            <v>8.6999999999999993</v>
          </cell>
          <cell r="D254">
            <v>11.3</v>
          </cell>
          <cell r="E254">
            <v>43.5</v>
          </cell>
          <cell r="F254">
            <v>310</v>
          </cell>
          <cell r="G254">
            <v>102.59</v>
          </cell>
          <cell r="H254">
            <v>18.5</v>
          </cell>
          <cell r="I254">
            <v>0.25</v>
          </cell>
          <cell r="J254">
            <v>0.44</v>
          </cell>
          <cell r="K254" t="str">
            <v>2*61</v>
          </cell>
        </row>
        <row r="255">
          <cell r="A255" t="str">
            <v>Каша ячневая вязкая жидкая на воде с растительным маслом</v>
          </cell>
          <cell r="B255" t="str">
            <v>250</v>
          </cell>
          <cell r="C255">
            <v>8.6999999999999993</v>
          </cell>
          <cell r="D255">
            <v>11.3</v>
          </cell>
          <cell r="E255">
            <v>43.5</v>
          </cell>
          <cell r="F255">
            <v>310</v>
          </cell>
          <cell r="G255">
            <v>102.59</v>
          </cell>
          <cell r="H255">
            <v>18.5</v>
          </cell>
          <cell r="I255">
            <v>0.25</v>
          </cell>
          <cell r="J255">
            <v>0.44</v>
          </cell>
          <cell r="K255" t="str">
            <v>2*61</v>
          </cell>
        </row>
        <row r="256">
          <cell r="A256" t="str">
            <v>Говядина отварная</v>
          </cell>
          <cell r="B256" t="str">
            <v>100</v>
          </cell>
          <cell r="C256">
            <v>17.579999999999998</v>
          </cell>
          <cell r="D256">
            <v>6.03</v>
          </cell>
          <cell r="E256">
            <v>2.98</v>
          </cell>
          <cell r="F256">
            <v>136.45838000000001</v>
          </cell>
          <cell r="G256">
            <v>95.18</v>
          </cell>
          <cell r="H256">
            <v>66</v>
          </cell>
          <cell r="I256">
            <v>1.1100000000000001</v>
          </cell>
          <cell r="J256">
            <v>2.2999999999999998</v>
          </cell>
          <cell r="K256" t="str">
            <v>10*5</v>
          </cell>
        </row>
        <row r="257">
          <cell r="A257" t="str">
            <v>Картофель по-деревенски</v>
          </cell>
          <cell r="B257" t="str">
            <v>100</v>
          </cell>
          <cell r="C257">
            <v>17.579999999999998</v>
          </cell>
          <cell r="D257">
            <v>6.03</v>
          </cell>
          <cell r="E257">
            <v>2.98</v>
          </cell>
          <cell r="F257">
            <v>136.45838000000001</v>
          </cell>
          <cell r="G257">
            <v>95.18</v>
          </cell>
          <cell r="H257">
            <v>66</v>
          </cell>
          <cell r="I257">
            <v>1.1100000000000001</v>
          </cell>
          <cell r="J257">
            <v>2.2999999999999998</v>
          </cell>
          <cell r="K257" t="str">
            <v>10*5</v>
          </cell>
        </row>
        <row r="258">
          <cell r="A258" t="str">
            <v>Плов из птицы</v>
          </cell>
          <cell r="B258" t="str">
            <v>100</v>
          </cell>
          <cell r="C258">
            <v>13.68</v>
          </cell>
          <cell r="D258">
            <v>11.36</v>
          </cell>
          <cell r="E258">
            <v>4.24</v>
          </cell>
          <cell r="F258">
            <v>174.4</v>
          </cell>
          <cell r="G258">
            <v>11.183999999999999</v>
          </cell>
          <cell r="H258">
            <v>15.304</v>
          </cell>
          <cell r="I258">
            <v>1.1519999999999999</v>
          </cell>
          <cell r="J258">
            <v>0.14399999999999999</v>
          </cell>
          <cell r="K258" t="str">
            <v>8*23</v>
          </cell>
        </row>
        <row r="259">
          <cell r="A259" t="str">
            <v>Салат  "Свежесть"</v>
          </cell>
          <cell r="B259">
            <v>100</v>
          </cell>
          <cell r="C259">
            <v>0.9</v>
          </cell>
          <cell r="D259">
            <v>6</v>
          </cell>
          <cell r="E259">
            <v>2.9</v>
          </cell>
          <cell r="F259">
            <v>72</v>
          </cell>
          <cell r="G259">
            <v>18.8</v>
          </cell>
          <cell r="H259">
            <v>15.8</v>
          </cell>
          <cell r="I259">
            <v>0.7</v>
          </cell>
          <cell r="J259">
            <v>16.100000000000001</v>
          </cell>
          <cell r="K259" t="str">
            <v>7*53</v>
          </cell>
        </row>
        <row r="260">
          <cell r="A260" t="str">
            <v xml:space="preserve">Каша рассыпчатая гречневая с овощами </v>
          </cell>
          <cell r="B260" t="str">
            <v>100</v>
          </cell>
          <cell r="C260">
            <v>5</v>
          </cell>
          <cell r="D260">
            <v>4.0999999999999996</v>
          </cell>
          <cell r="E260">
            <v>21.7</v>
          </cell>
          <cell r="F260">
            <v>146</v>
          </cell>
          <cell r="G260">
            <v>10.83</v>
          </cell>
          <cell r="H260">
            <v>76.13</v>
          </cell>
          <cell r="I260">
            <v>2.62</v>
          </cell>
          <cell r="J260">
            <v>0</v>
          </cell>
          <cell r="K260" t="str">
            <v>5*54</v>
          </cell>
        </row>
        <row r="261">
          <cell r="A261" t="str">
            <v>Котлета куриная с сыром</v>
          </cell>
          <cell r="B261">
            <v>100</v>
          </cell>
          <cell r="C261">
            <v>19.100000000000001</v>
          </cell>
          <cell r="D261">
            <v>3.1</v>
          </cell>
          <cell r="E261">
            <v>8.3000000000000007</v>
          </cell>
          <cell r="F261">
            <v>138</v>
          </cell>
          <cell r="G261">
            <v>41.81</v>
          </cell>
          <cell r="H261">
            <v>18.41</v>
          </cell>
          <cell r="I261">
            <v>1.17</v>
          </cell>
          <cell r="J261">
            <v>0.37</v>
          </cell>
          <cell r="K261" t="str">
            <v>9*8</v>
          </cell>
        </row>
        <row r="262">
          <cell r="A262" t="str">
            <v>Оладьи из свинины</v>
          </cell>
          <cell r="B262" t="str">
            <v>100</v>
          </cell>
          <cell r="C262">
            <v>14.1</v>
          </cell>
          <cell r="D262">
            <v>21.1</v>
          </cell>
          <cell r="E262">
            <v>6</v>
          </cell>
          <cell r="F262">
            <v>271</v>
          </cell>
          <cell r="G262">
            <v>14.49</v>
          </cell>
          <cell r="H262">
            <v>25.06</v>
          </cell>
          <cell r="I262">
            <v>1.99</v>
          </cell>
          <cell r="J262">
            <v>0.12</v>
          </cell>
          <cell r="K262" t="str">
            <v>8*26</v>
          </cell>
        </row>
        <row r="263">
          <cell r="A263" t="str">
            <v>Мясо по-французски с картофелем</v>
          </cell>
          <cell r="B263" t="str">
            <v>100</v>
          </cell>
          <cell r="C263">
            <v>15.7</v>
          </cell>
          <cell r="D263">
            <v>15.7</v>
          </cell>
          <cell r="E263">
            <v>19.8</v>
          </cell>
          <cell r="F263">
            <v>289</v>
          </cell>
          <cell r="G263">
            <v>24.5</v>
          </cell>
          <cell r="H263">
            <v>2.8</v>
          </cell>
          <cell r="I263">
            <v>0</v>
          </cell>
          <cell r="J263">
            <v>10.7</v>
          </cell>
          <cell r="K263" t="str">
            <v>8*52</v>
          </cell>
        </row>
        <row r="264">
          <cell r="A264" t="str">
            <v>Филе куриное  под сыром с сол.огурцами</v>
          </cell>
          <cell r="B264" t="str">
            <v>100</v>
          </cell>
          <cell r="C264">
            <v>28.25</v>
          </cell>
          <cell r="D264">
            <v>12.25</v>
          </cell>
          <cell r="E264">
            <v>19.75</v>
          </cell>
          <cell r="F264">
            <v>305</v>
          </cell>
          <cell r="G264">
            <v>39.362499999999997</v>
          </cell>
          <cell r="H264">
            <v>55.4375</v>
          </cell>
          <cell r="I264">
            <v>2.7749999999999999</v>
          </cell>
          <cell r="J264">
            <v>11.3375</v>
          </cell>
          <cell r="K264" t="str">
            <v>9*60</v>
          </cell>
        </row>
        <row r="265">
          <cell r="A265" t="str">
            <v>Лагман (говядина, курица)</v>
          </cell>
          <cell r="B265" t="str">
            <v>200</v>
          </cell>
          <cell r="C265">
            <v>22.6</v>
          </cell>
          <cell r="D265">
            <v>25</v>
          </cell>
          <cell r="E265">
            <v>41.4</v>
          </cell>
          <cell r="F265">
            <v>488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 t="str">
            <v>8*60</v>
          </cell>
        </row>
        <row r="266">
          <cell r="A266" t="str">
            <v>Суп-пюре гороховый с гренками</v>
          </cell>
          <cell r="B266" t="str">
            <v>300</v>
          </cell>
          <cell r="C266">
            <v>10.7</v>
          </cell>
          <cell r="D266">
            <v>9.3000000000000007</v>
          </cell>
          <cell r="E266">
            <v>23.4</v>
          </cell>
          <cell r="F266">
            <v>222</v>
          </cell>
          <cell r="G266">
            <v>17.260000000000002</v>
          </cell>
          <cell r="H266">
            <v>15.84</v>
          </cell>
          <cell r="I266">
            <v>0.99</v>
          </cell>
          <cell r="J266">
            <v>10.98</v>
          </cell>
          <cell r="K266" t="str">
            <v>6*57</v>
          </cell>
        </row>
        <row r="267">
          <cell r="A267" t="str">
            <v xml:space="preserve">Каша рассыпчатая гречневая </v>
          </cell>
          <cell r="B267" t="str">
            <v>100</v>
          </cell>
          <cell r="C267">
            <v>5</v>
          </cell>
          <cell r="D267">
            <v>4.0999999999999996</v>
          </cell>
          <cell r="E267">
            <v>21.7</v>
          </cell>
          <cell r="F267">
            <v>146</v>
          </cell>
          <cell r="G267">
            <v>10.83</v>
          </cell>
          <cell r="H267">
            <v>76.13</v>
          </cell>
          <cell r="I267">
            <v>2.62</v>
          </cell>
          <cell r="J267">
            <v>0</v>
          </cell>
          <cell r="K267" t="str">
            <v>5*53</v>
          </cell>
        </row>
        <row r="268">
          <cell r="A268" t="str">
            <v>Жаркое по-домашнему со свининой</v>
          </cell>
          <cell r="B268" t="str">
            <v>200</v>
          </cell>
          <cell r="C268">
            <v>13.7</v>
          </cell>
          <cell r="D268">
            <v>25.4</v>
          </cell>
          <cell r="E268">
            <v>35.799999999999997</v>
          </cell>
          <cell r="F268">
            <v>430</v>
          </cell>
          <cell r="G268">
            <v>15.72</v>
          </cell>
          <cell r="H268">
            <v>38.99</v>
          </cell>
          <cell r="I268">
            <v>1.75</v>
          </cell>
          <cell r="J268">
            <v>1.24</v>
          </cell>
          <cell r="K268" t="str">
            <v>8*27</v>
          </cell>
        </row>
        <row r="269">
          <cell r="A269" t="str">
            <v>Шаньга со сметаной</v>
          </cell>
          <cell r="B269">
            <v>100</v>
          </cell>
          <cell r="C269">
            <v>9.6199999999999992</v>
          </cell>
          <cell r="D269">
            <v>9.27</v>
          </cell>
          <cell r="E269">
            <v>40.11</v>
          </cell>
          <cell r="F269">
            <v>282.35000000000002</v>
          </cell>
          <cell r="G269">
            <v>303.08999999999997</v>
          </cell>
          <cell r="H269">
            <v>137.87</v>
          </cell>
          <cell r="I269">
            <v>0.3</v>
          </cell>
          <cell r="J269">
            <v>0.56000000000000005</v>
          </cell>
          <cell r="K269" t="str">
            <v>13*10</v>
          </cell>
        </row>
        <row r="270">
          <cell r="A270" t="str">
            <v>Люля-кебаб (свинина, курица)</v>
          </cell>
          <cell r="B270" t="str">
            <v>200</v>
          </cell>
          <cell r="C270">
            <v>22.6</v>
          </cell>
          <cell r="D270">
            <v>25</v>
          </cell>
          <cell r="E270">
            <v>41.4</v>
          </cell>
          <cell r="F270">
            <v>488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 t="str">
            <v>8*60</v>
          </cell>
        </row>
        <row r="271">
          <cell r="A271" t="str">
            <v>Филе куриное с соленым огурцом под сыром</v>
          </cell>
          <cell r="B271" t="str">
            <v>100</v>
          </cell>
          <cell r="C271">
            <v>28.25</v>
          </cell>
          <cell r="D271">
            <v>12.25</v>
          </cell>
          <cell r="E271">
            <v>19.75</v>
          </cell>
          <cell r="F271">
            <v>305</v>
          </cell>
          <cell r="G271">
            <v>39.362499999999997</v>
          </cell>
          <cell r="H271">
            <v>55.4375</v>
          </cell>
          <cell r="I271">
            <v>2.7749999999999999</v>
          </cell>
          <cell r="J271">
            <v>11.3375</v>
          </cell>
          <cell r="K271" t="str">
            <v>9*60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Реестр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АЭ Ст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 и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 xml:space="preserve">Гуляш 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  <row r="227">
          <cell r="A227" t="str">
            <v>Пирожок сдобный с повидлом и курагой</v>
          </cell>
          <cell r="B227" t="str">
            <v>100</v>
          </cell>
          <cell r="C227">
            <v>4.9000000000000004</v>
          </cell>
          <cell r="D227">
            <v>4.3</v>
          </cell>
          <cell r="E227">
            <v>40.9</v>
          </cell>
          <cell r="F227">
            <v>222</v>
          </cell>
          <cell r="G227">
            <v>20.13</v>
          </cell>
          <cell r="H227">
            <v>11.56</v>
          </cell>
          <cell r="I227">
            <v>1.66</v>
          </cell>
          <cell r="J227">
            <v>4.4000000000000004</v>
          </cell>
          <cell r="K227" t="str">
            <v>13*55</v>
          </cell>
        </row>
        <row r="228">
          <cell r="A228" t="str">
            <v>Напиток из черноплодной рябины</v>
          </cell>
          <cell r="B228">
            <v>200</v>
          </cell>
          <cell r="C228">
            <v>0.1</v>
          </cell>
          <cell r="D228">
            <v>0.1</v>
          </cell>
          <cell r="E228">
            <v>21.2</v>
          </cell>
          <cell r="F228">
            <v>83</v>
          </cell>
          <cell r="G228">
            <v>2.72</v>
          </cell>
          <cell r="H228">
            <v>0.67</v>
          </cell>
          <cell r="I228">
            <v>7.0000000000000007E-2</v>
          </cell>
          <cell r="J228">
            <v>0.6</v>
          </cell>
          <cell r="K228" t="str">
            <v>11*1</v>
          </cell>
        </row>
        <row r="229">
          <cell r="A229" t="str">
            <v>Филе куриное тушенное с овощами</v>
          </cell>
          <cell r="B229" t="str">
            <v>100</v>
          </cell>
          <cell r="C229">
            <v>28.25</v>
          </cell>
          <cell r="D229">
            <v>12.25</v>
          </cell>
          <cell r="E229">
            <v>19.75</v>
          </cell>
          <cell r="F229">
            <v>305</v>
          </cell>
          <cell r="G229">
            <v>39.362499999999997</v>
          </cell>
          <cell r="H229">
            <v>55.4375</v>
          </cell>
          <cell r="I229">
            <v>2.7749999999999999</v>
          </cell>
          <cell r="J229">
            <v>11.3375</v>
          </cell>
          <cell r="K229" t="str">
            <v>9*60</v>
          </cell>
        </row>
        <row r="230">
          <cell r="A230" t="str">
            <v>Бутерброд с маслом 20/5</v>
          </cell>
          <cell r="B230" t="str">
            <v>25</v>
          </cell>
          <cell r="C230">
            <v>1.3</v>
          </cell>
          <cell r="D230">
            <v>10.8</v>
          </cell>
          <cell r="E230">
            <v>8.1999999999999993</v>
          </cell>
          <cell r="F230">
            <v>135.19999999999999</v>
          </cell>
          <cell r="G230">
            <v>1.36</v>
          </cell>
          <cell r="H230">
            <v>4.66</v>
          </cell>
          <cell r="I230">
            <v>3.5999999999999997E-2</v>
          </cell>
          <cell r="J230">
            <v>4.3999999999999997E-2</v>
          </cell>
          <cell r="K230" t="str">
            <v>1*50</v>
          </cell>
        </row>
        <row r="231">
          <cell r="A231" t="str">
            <v>Плов из птицы</v>
          </cell>
          <cell r="B231">
            <v>200</v>
          </cell>
          <cell r="C231">
            <v>17.37</v>
          </cell>
          <cell r="D231">
            <v>9.0540000000000003</v>
          </cell>
          <cell r="E231">
            <v>30.789000000000001</v>
          </cell>
          <cell r="F231">
            <v>274.12200000000001</v>
          </cell>
          <cell r="G231">
            <v>16.596</v>
          </cell>
          <cell r="H231">
            <v>48.545999999999999</v>
          </cell>
          <cell r="I231">
            <v>2.0790000000000002</v>
          </cell>
          <cell r="J231">
            <v>1.2509999999999999</v>
          </cell>
          <cell r="K231" t="str">
            <v>8*59</v>
          </cell>
        </row>
        <row r="232">
          <cell r="A232" t="str">
            <v>Запеканка творожная без сахара</v>
          </cell>
          <cell r="B232" t="str">
            <v>100</v>
          </cell>
          <cell r="C232">
            <v>13.266666666666699</v>
          </cell>
          <cell r="D232">
            <v>11.4</v>
          </cell>
          <cell r="E232">
            <v>11.3333333333333</v>
          </cell>
          <cell r="F232">
            <v>204</v>
          </cell>
          <cell r="G232">
            <v>117.333333333333</v>
          </cell>
          <cell r="H232">
            <v>23.4</v>
          </cell>
          <cell r="I232">
            <v>0.53333333333333299</v>
          </cell>
          <cell r="J232">
            <v>0.375</v>
          </cell>
          <cell r="K232" t="str">
            <v>3*11</v>
          </cell>
        </row>
        <row r="233">
          <cell r="A233" t="str">
            <v>Чай лимонный  без сахара</v>
          </cell>
          <cell r="B233">
            <v>200</v>
          </cell>
          <cell r="C233">
            <v>0.2</v>
          </cell>
          <cell r="D233">
            <v>0.1</v>
          </cell>
          <cell r="E233">
            <v>13.9</v>
          </cell>
          <cell r="F233">
            <v>55</v>
          </cell>
          <cell r="G233">
            <v>1.43</v>
          </cell>
          <cell r="H233">
            <v>0.37</v>
          </cell>
          <cell r="I233">
            <v>0.04</v>
          </cell>
          <cell r="J233">
            <v>0.56000000000000005</v>
          </cell>
          <cell r="K233" t="str">
            <v>11*54</v>
          </cell>
        </row>
        <row r="234">
          <cell r="A234" t="str">
            <v>Морковная запеканка с маслом растительным</v>
          </cell>
          <cell r="B234" t="str">
            <v>150</v>
          </cell>
          <cell r="C234">
            <v>9.6</v>
          </cell>
          <cell r="D234">
            <v>9.3000000000000007</v>
          </cell>
          <cell r="E234">
            <v>20.100000000000001</v>
          </cell>
          <cell r="F234">
            <v>183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 t="str">
            <v>3*52</v>
          </cell>
        </row>
        <row r="235">
          <cell r="A235" t="str">
            <v>Горошек консервированный</v>
          </cell>
          <cell r="B235" t="str">
            <v>100</v>
          </cell>
          <cell r="C235">
            <v>1.6</v>
          </cell>
          <cell r="D235">
            <v>8</v>
          </cell>
          <cell r="E235">
            <v>11.9</v>
          </cell>
          <cell r="F235">
            <v>125</v>
          </cell>
          <cell r="G235">
            <v>46.43</v>
          </cell>
          <cell r="H235">
            <v>15.26</v>
          </cell>
          <cell r="I235">
            <v>1.03</v>
          </cell>
          <cell r="J235">
            <v>38.86</v>
          </cell>
          <cell r="K235" t="str">
            <v>7*38</v>
          </cell>
        </row>
        <row r="236">
          <cell r="A236" t="str">
            <v>Салат из  картофеля с соленым огурцом</v>
          </cell>
          <cell r="B236" t="str">
            <v>100</v>
          </cell>
          <cell r="C236">
            <v>1.59</v>
          </cell>
          <cell r="D236">
            <v>6.2</v>
          </cell>
          <cell r="E236">
            <v>11.35</v>
          </cell>
          <cell r="F236">
            <v>107.53618400000001</v>
          </cell>
          <cell r="G236">
            <v>19.71</v>
          </cell>
          <cell r="H236">
            <v>64.55</v>
          </cell>
          <cell r="I236">
            <v>5.23</v>
          </cell>
          <cell r="J236">
            <v>0</v>
          </cell>
          <cell r="K236" t="str">
            <v>7*33</v>
          </cell>
        </row>
        <row r="237">
          <cell r="A237" t="str">
            <v>Икра кабачковая</v>
          </cell>
          <cell r="B237" t="str">
            <v>150</v>
          </cell>
          <cell r="C237">
            <v>9.6</v>
          </cell>
          <cell r="D237">
            <v>9.3000000000000007</v>
          </cell>
          <cell r="E237">
            <v>20.100000000000001</v>
          </cell>
          <cell r="F237">
            <v>183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 t="str">
            <v>3*52</v>
          </cell>
        </row>
        <row r="238">
          <cell r="A238" t="str">
            <v>Икра свекольная</v>
          </cell>
          <cell r="B238" t="str">
            <v>150</v>
          </cell>
          <cell r="C238">
            <v>9.6</v>
          </cell>
          <cell r="D238">
            <v>9.3000000000000007</v>
          </cell>
          <cell r="E238">
            <v>20.100000000000001</v>
          </cell>
          <cell r="F238">
            <v>183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 t="str">
            <v>3*52</v>
          </cell>
        </row>
        <row r="239">
          <cell r="A239" t="str">
            <v xml:space="preserve">Рассольник Ленинградский </v>
          </cell>
          <cell r="B239" t="str">
            <v>300</v>
          </cell>
          <cell r="C239">
            <v>6.7</v>
          </cell>
          <cell r="D239">
            <v>14.5</v>
          </cell>
          <cell r="E239">
            <v>18.8</v>
          </cell>
          <cell r="F239">
            <v>240</v>
          </cell>
          <cell r="G239">
            <v>44</v>
          </cell>
          <cell r="H239">
            <v>35.9</v>
          </cell>
          <cell r="I239">
            <v>1.7</v>
          </cell>
          <cell r="J239">
            <v>7.3</v>
          </cell>
          <cell r="K239" t="str">
            <v>6*70</v>
          </cell>
        </row>
        <row r="240">
          <cell r="A240" t="str">
            <v xml:space="preserve">Каша рассыпчатая гречневая с растительным маслом </v>
          </cell>
          <cell r="B240" t="str">
            <v>100</v>
          </cell>
          <cell r="C240">
            <v>5</v>
          </cell>
          <cell r="D240">
            <v>4.0999999999999996</v>
          </cell>
          <cell r="E240">
            <v>21.7</v>
          </cell>
          <cell r="F240">
            <v>146</v>
          </cell>
          <cell r="G240">
            <v>10.83</v>
          </cell>
          <cell r="H240">
            <v>76.13</v>
          </cell>
          <cell r="I240">
            <v>2.62</v>
          </cell>
          <cell r="J240">
            <v>0</v>
          </cell>
          <cell r="K240" t="str">
            <v>5*53</v>
          </cell>
        </row>
        <row r="241">
          <cell r="A241" t="str">
            <v>Суфле куриное</v>
          </cell>
          <cell r="B241">
            <v>100</v>
          </cell>
          <cell r="C241">
            <v>19.100000000000001</v>
          </cell>
          <cell r="D241">
            <v>3.1</v>
          </cell>
          <cell r="E241">
            <v>8.3000000000000007</v>
          </cell>
          <cell r="F241">
            <v>138</v>
          </cell>
          <cell r="G241">
            <v>41.81</v>
          </cell>
          <cell r="H241">
            <v>18.41</v>
          </cell>
          <cell r="I241">
            <v>1.17</v>
          </cell>
          <cell r="J241">
            <v>0.37</v>
          </cell>
          <cell r="K241" t="str">
            <v>9*8</v>
          </cell>
        </row>
        <row r="242">
          <cell r="A242" t="str">
            <v>Печень куриная по-строгановски</v>
          </cell>
          <cell r="B242" t="str">
            <v>100</v>
          </cell>
          <cell r="C242">
            <v>13.9</v>
          </cell>
          <cell r="D242">
            <v>12.5</v>
          </cell>
          <cell r="E242">
            <v>3.8</v>
          </cell>
          <cell r="F242">
            <v>184</v>
          </cell>
          <cell r="G242">
            <v>12.82</v>
          </cell>
          <cell r="H242">
            <v>17.37</v>
          </cell>
          <cell r="I242">
            <v>1.95</v>
          </cell>
          <cell r="J242">
            <v>0.92</v>
          </cell>
          <cell r="K242" t="str">
            <v>8*12</v>
          </cell>
        </row>
        <row r="243">
          <cell r="A243" t="str">
            <v>Говядина отварная</v>
          </cell>
          <cell r="B243" t="str">
            <v>100</v>
          </cell>
          <cell r="C243">
            <v>13.9</v>
          </cell>
          <cell r="D243">
            <v>12.5</v>
          </cell>
          <cell r="E243">
            <v>3.8</v>
          </cell>
          <cell r="F243">
            <v>184</v>
          </cell>
          <cell r="G243">
            <v>12.82</v>
          </cell>
          <cell r="H243">
            <v>17.37</v>
          </cell>
          <cell r="I243">
            <v>1.95</v>
          </cell>
          <cell r="J243">
            <v>0.92</v>
          </cell>
          <cell r="K243" t="str">
            <v>8*12</v>
          </cell>
        </row>
        <row r="244">
          <cell r="A244" t="str">
            <v>Минтай с луком и морковью</v>
          </cell>
          <cell r="B244" t="str">
            <v>100</v>
          </cell>
          <cell r="C244">
            <v>17.579999999999998</v>
          </cell>
          <cell r="D244">
            <v>6.03</v>
          </cell>
          <cell r="E244">
            <v>2.98</v>
          </cell>
          <cell r="F244">
            <v>136.45838000000001</v>
          </cell>
          <cell r="G244">
            <v>95.18</v>
          </cell>
          <cell r="H244">
            <v>66</v>
          </cell>
          <cell r="I244">
            <v>1.1100000000000001</v>
          </cell>
          <cell r="J244">
            <v>2.2999999999999998</v>
          </cell>
          <cell r="K244" t="str">
            <v>10*5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Реестр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АЭ 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 и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 xml:space="preserve">Гуляш 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  <cell r="K223">
            <v>0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  <row r="227">
          <cell r="A227" t="str">
            <v>Пирожок сдобный с повидлом и курагой</v>
          </cell>
          <cell r="B227" t="str">
            <v>100</v>
          </cell>
          <cell r="C227">
            <v>4.9000000000000004</v>
          </cell>
          <cell r="D227">
            <v>4.3</v>
          </cell>
          <cell r="E227">
            <v>40.9</v>
          </cell>
          <cell r="F227">
            <v>222</v>
          </cell>
          <cell r="G227">
            <v>20.13</v>
          </cell>
          <cell r="H227">
            <v>11.56</v>
          </cell>
          <cell r="I227">
            <v>1.66</v>
          </cell>
          <cell r="J227">
            <v>4.4000000000000004</v>
          </cell>
          <cell r="K227" t="str">
            <v>13*55</v>
          </cell>
        </row>
        <row r="228">
          <cell r="A228" t="str">
            <v>Напиток из черноплодной рябины</v>
          </cell>
          <cell r="B228">
            <v>200</v>
          </cell>
          <cell r="C228">
            <v>0.1</v>
          </cell>
          <cell r="D228">
            <v>0.1</v>
          </cell>
          <cell r="E228">
            <v>21.2</v>
          </cell>
          <cell r="F228">
            <v>83</v>
          </cell>
          <cell r="G228">
            <v>2.72</v>
          </cell>
          <cell r="H228">
            <v>0.67</v>
          </cell>
          <cell r="I228">
            <v>7.0000000000000007E-2</v>
          </cell>
          <cell r="J228">
            <v>0.6</v>
          </cell>
          <cell r="K228" t="str">
            <v>11*1</v>
          </cell>
        </row>
        <row r="229">
          <cell r="A229" t="str">
            <v>Филе куриное тушенное с овощами</v>
          </cell>
          <cell r="B229" t="str">
            <v>100</v>
          </cell>
          <cell r="C229">
            <v>28.25</v>
          </cell>
          <cell r="D229">
            <v>12.25</v>
          </cell>
          <cell r="E229">
            <v>19.75</v>
          </cell>
          <cell r="F229">
            <v>305</v>
          </cell>
          <cell r="G229">
            <v>39.362499999999997</v>
          </cell>
          <cell r="H229">
            <v>55.4375</v>
          </cell>
          <cell r="I229">
            <v>2.7749999999999999</v>
          </cell>
          <cell r="J229">
            <v>11.3375</v>
          </cell>
          <cell r="K229" t="str">
            <v>9*60</v>
          </cell>
        </row>
        <row r="230">
          <cell r="A230" t="str">
            <v>Бутерброд с маслом 20/5</v>
          </cell>
          <cell r="B230" t="str">
            <v>25</v>
          </cell>
          <cell r="C230">
            <v>1.3</v>
          </cell>
          <cell r="D230">
            <v>10.8</v>
          </cell>
          <cell r="E230">
            <v>8.1999999999999993</v>
          </cell>
          <cell r="F230">
            <v>135.19999999999999</v>
          </cell>
          <cell r="G230">
            <v>1.36</v>
          </cell>
          <cell r="H230">
            <v>4.66</v>
          </cell>
          <cell r="I230">
            <v>3.5999999999999997E-2</v>
          </cell>
          <cell r="J230">
            <v>4.3999999999999997E-2</v>
          </cell>
          <cell r="K230" t="str">
            <v>1*50</v>
          </cell>
        </row>
        <row r="231">
          <cell r="A231" t="str">
            <v>Плов из птицы</v>
          </cell>
          <cell r="B231">
            <v>200</v>
          </cell>
          <cell r="C231">
            <v>17.37</v>
          </cell>
          <cell r="D231">
            <v>9.0540000000000003</v>
          </cell>
          <cell r="E231">
            <v>30.789000000000001</v>
          </cell>
          <cell r="F231">
            <v>274.12200000000001</v>
          </cell>
          <cell r="G231">
            <v>16.596</v>
          </cell>
          <cell r="H231">
            <v>48.545999999999999</v>
          </cell>
          <cell r="I231">
            <v>2.0790000000000002</v>
          </cell>
          <cell r="J231">
            <v>1.2509999999999999</v>
          </cell>
          <cell r="K231" t="str">
            <v>8*59</v>
          </cell>
        </row>
        <row r="232">
          <cell r="A232" t="str">
            <v>Запеканка творожная без сахара</v>
          </cell>
          <cell r="B232" t="str">
            <v>100</v>
          </cell>
          <cell r="C232">
            <v>13.266666666666699</v>
          </cell>
          <cell r="D232">
            <v>11.4</v>
          </cell>
          <cell r="E232">
            <v>11.3333333333333</v>
          </cell>
          <cell r="F232">
            <v>204</v>
          </cell>
          <cell r="G232">
            <v>117.333333333333</v>
          </cell>
          <cell r="H232">
            <v>23.4</v>
          </cell>
          <cell r="I232">
            <v>0.53333333333333299</v>
          </cell>
          <cell r="J232">
            <v>0.375</v>
          </cell>
          <cell r="K232" t="str">
            <v>3*11</v>
          </cell>
        </row>
        <row r="233">
          <cell r="A233" t="str">
            <v>Чай лимонный  без сахара</v>
          </cell>
          <cell r="B233">
            <v>200</v>
          </cell>
          <cell r="C233">
            <v>0.2</v>
          </cell>
          <cell r="D233">
            <v>0.1</v>
          </cell>
          <cell r="E233">
            <v>13.9</v>
          </cell>
          <cell r="F233">
            <v>55</v>
          </cell>
          <cell r="G233">
            <v>1.43</v>
          </cell>
          <cell r="H233">
            <v>0.37</v>
          </cell>
          <cell r="I233">
            <v>0.04</v>
          </cell>
          <cell r="J233">
            <v>0.56000000000000005</v>
          </cell>
          <cell r="K233" t="str">
            <v>11*54</v>
          </cell>
        </row>
        <row r="234">
          <cell r="A234" t="str">
            <v>Морковная запеканка с маслом растительным</v>
          </cell>
          <cell r="B234" t="str">
            <v>150</v>
          </cell>
          <cell r="C234">
            <v>9.6</v>
          </cell>
          <cell r="D234">
            <v>9.3000000000000007</v>
          </cell>
          <cell r="E234">
            <v>20.100000000000001</v>
          </cell>
          <cell r="F234">
            <v>183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 t="str">
            <v>3*52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Ст"/>
      <sheetName val="109 Мл"/>
      <sheetName val="181 Ст"/>
      <sheetName val="181 Мл"/>
      <sheetName val="АЭ Мл"/>
      <sheetName val="АЭ Ст"/>
      <sheetName val="Реест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Ст"/>
      <sheetName val="109 Мл"/>
      <sheetName val="181 Ст"/>
      <sheetName val="181 Мл"/>
      <sheetName val="АЭ Мл"/>
      <sheetName val="АЭ Ст"/>
      <sheetName val="Реест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Ст"/>
      <sheetName val="109 Мл"/>
      <sheetName val="181 Ст"/>
      <sheetName val="181 Мл"/>
      <sheetName val="АЭ Мл"/>
      <sheetName val="АЭ Ст"/>
      <sheetName val="Реест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85"/>
      <sheetName val="64"/>
      <sheetName val="109 (1)"/>
      <sheetName val="109 (2)"/>
      <sheetName val="181 (1)"/>
      <sheetName val="181 (2)"/>
      <sheetName val="1 Мл"/>
      <sheetName val="1 Ст"/>
      <sheetName val="Арт-Этюд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17 Мл"/>
      <sheetName val="16 Ст"/>
      <sheetName val="АЭ Ст"/>
      <sheetName val="16 Мл"/>
      <sheetName val="Реес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6 доп меню (2)"/>
      <sheetName val="19"/>
      <sheetName val="19 доп меню"/>
      <sheetName val="17"/>
      <sheetName val="85"/>
      <sheetName val="64"/>
      <sheetName val="64 доп меню"/>
      <sheetName val="109 (1)"/>
      <sheetName val="109 (2)"/>
      <sheetName val="181 (1)"/>
      <sheetName val="181 (2)"/>
      <sheetName val="Арт-Этюд"/>
      <sheetName val="1 Мл"/>
      <sheetName val="1 Ст"/>
      <sheetName val="16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17 Мл"/>
      <sheetName val="16 Ст"/>
      <sheetName val="АЭ Ст"/>
      <sheetName val="Реест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16 Мл"/>
      <sheetName val="16 Ст"/>
      <sheetName val="17 Мл"/>
      <sheetName val="17 Ст"/>
      <sheetName val="19 Мл"/>
      <sheetName val="19 Ст"/>
      <sheetName val="64 Мл"/>
      <sheetName val="85 Мл"/>
      <sheetName val="64 Ст"/>
      <sheetName val="85 Ст"/>
      <sheetName val="109 Мл"/>
      <sheetName val="109 Ст"/>
      <sheetName val="181 Ст"/>
      <sheetName val="181 Мл"/>
      <sheetName val="АЭ Мл"/>
      <sheetName val="АЭ Ст"/>
      <sheetName val="Реестр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 и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 xml:space="preserve">Гуляш 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  <cell r="K223">
            <v>0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  <row r="227">
          <cell r="A227" t="str">
            <v>Пирожок сдобный с повидлом и курагой</v>
          </cell>
          <cell r="B227" t="str">
            <v>100</v>
          </cell>
          <cell r="C227">
            <v>4.9000000000000004</v>
          </cell>
          <cell r="D227">
            <v>4.3</v>
          </cell>
          <cell r="E227">
            <v>40.9</v>
          </cell>
          <cell r="F227">
            <v>222</v>
          </cell>
          <cell r="G227">
            <v>20.13</v>
          </cell>
          <cell r="H227">
            <v>11.56</v>
          </cell>
          <cell r="I227">
            <v>1.66</v>
          </cell>
          <cell r="J227">
            <v>4.4000000000000004</v>
          </cell>
          <cell r="K227" t="str">
            <v>13*55</v>
          </cell>
        </row>
        <row r="228">
          <cell r="A228" t="str">
            <v>Напиток из черноплодной рябины</v>
          </cell>
          <cell r="B228">
            <v>200</v>
          </cell>
          <cell r="C228">
            <v>0.1</v>
          </cell>
          <cell r="D228">
            <v>0.1</v>
          </cell>
          <cell r="E228">
            <v>21.2</v>
          </cell>
          <cell r="F228">
            <v>83</v>
          </cell>
          <cell r="G228">
            <v>2.72</v>
          </cell>
          <cell r="H228">
            <v>0.67</v>
          </cell>
          <cell r="I228">
            <v>7.0000000000000007E-2</v>
          </cell>
          <cell r="J228">
            <v>0.6</v>
          </cell>
          <cell r="K228" t="str">
            <v>11*1</v>
          </cell>
        </row>
        <row r="229">
          <cell r="A229" t="str">
            <v>Филе куриное тушенное с овощами</v>
          </cell>
          <cell r="B229" t="str">
            <v>100</v>
          </cell>
          <cell r="C229">
            <v>28.25</v>
          </cell>
          <cell r="D229">
            <v>12.25</v>
          </cell>
          <cell r="E229">
            <v>19.75</v>
          </cell>
          <cell r="F229">
            <v>305</v>
          </cell>
          <cell r="G229">
            <v>39.362499999999997</v>
          </cell>
          <cell r="H229">
            <v>55.4375</v>
          </cell>
          <cell r="I229">
            <v>2.7749999999999999</v>
          </cell>
          <cell r="J229">
            <v>11.3375</v>
          </cell>
          <cell r="K229" t="str">
            <v>9*60</v>
          </cell>
        </row>
        <row r="230">
          <cell r="A230" t="str">
            <v>Бутерброд с маслом 20/5</v>
          </cell>
          <cell r="B230" t="str">
            <v>25</v>
          </cell>
          <cell r="C230">
            <v>1.3</v>
          </cell>
          <cell r="D230">
            <v>10.8</v>
          </cell>
          <cell r="E230">
            <v>8.1999999999999993</v>
          </cell>
          <cell r="F230">
            <v>135.19999999999999</v>
          </cell>
          <cell r="G230">
            <v>1.36</v>
          </cell>
          <cell r="H230">
            <v>4.66</v>
          </cell>
          <cell r="I230">
            <v>3.5999999999999997E-2</v>
          </cell>
          <cell r="J230">
            <v>4.3999999999999997E-2</v>
          </cell>
          <cell r="K230" t="str">
            <v>1*50</v>
          </cell>
        </row>
        <row r="231">
          <cell r="A231" t="str">
            <v>Плов из птицы</v>
          </cell>
          <cell r="B231">
            <v>200</v>
          </cell>
          <cell r="C231">
            <v>17.37</v>
          </cell>
          <cell r="D231">
            <v>9.0540000000000003</v>
          </cell>
          <cell r="E231">
            <v>30.789000000000001</v>
          </cell>
          <cell r="F231">
            <v>274.12200000000001</v>
          </cell>
          <cell r="G231">
            <v>16.596</v>
          </cell>
          <cell r="H231">
            <v>48.545999999999999</v>
          </cell>
          <cell r="I231">
            <v>2.0790000000000002</v>
          </cell>
          <cell r="J231">
            <v>1.2509999999999999</v>
          </cell>
          <cell r="K231" t="str">
            <v>8*59</v>
          </cell>
        </row>
        <row r="234">
          <cell r="A234" t="str">
            <v>Каша жидкая рисовая с маслом без сахара</v>
          </cell>
          <cell r="B234" t="str">
            <v>250</v>
          </cell>
          <cell r="C234">
            <v>8.6999999999999993</v>
          </cell>
          <cell r="D234">
            <v>11.3</v>
          </cell>
          <cell r="E234">
            <v>43.5</v>
          </cell>
          <cell r="F234">
            <v>310</v>
          </cell>
          <cell r="G234">
            <v>102.59</v>
          </cell>
          <cell r="H234">
            <v>18.5</v>
          </cell>
          <cell r="I234">
            <v>0.25</v>
          </cell>
          <cell r="J234">
            <v>0.44</v>
          </cell>
          <cell r="K234" t="str">
            <v>2*61</v>
          </cell>
        </row>
        <row r="235">
          <cell r="A235" t="str">
            <v>Какао с молоком  без сахара</v>
          </cell>
          <cell r="B235">
            <v>200</v>
          </cell>
          <cell r="C235">
            <v>3.6</v>
          </cell>
          <cell r="D235">
            <v>2.7</v>
          </cell>
          <cell r="E235">
            <v>22.9</v>
          </cell>
          <cell r="F235">
            <v>127</v>
          </cell>
          <cell r="G235">
            <v>55.32</v>
          </cell>
          <cell r="H235">
            <v>13.49</v>
          </cell>
          <cell r="I235">
            <v>0.45</v>
          </cell>
          <cell r="J235">
            <v>0.26</v>
          </cell>
          <cell r="K235" t="str">
            <v>11*51</v>
          </cell>
        </row>
        <row r="236">
          <cell r="A236" t="str">
            <v>Каша овсяная вязкая жидкая на воде с растительным маслом</v>
          </cell>
          <cell r="B236" t="str">
            <v>250</v>
          </cell>
          <cell r="C236">
            <v>8.6999999999999993</v>
          </cell>
          <cell r="D236">
            <v>11.3</v>
          </cell>
          <cell r="E236">
            <v>43.5</v>
          </cell>
          <cell r="F236">
            <v>310</v>
          </cell>
          <cell r="G236">
            <v>102.59</v>
          </cell>
          <cell r="H236">
            <v>18.5</v>
          </cell>
          <cell r="I236">
            <v>0.25</v>
          </cell>
          <cell r="J236">
            <v>0.44</v>
          </cell>
          <cell r="K236" t="str">
            <v>2*61</v>
          </cell>
        </row>
        <row r="237">
          <cell r="A237" t="str">
            <v>Горошек зеленый</v>
          </cell>
          <cell r="B237" t="str">
            <v>100</v>
          </cell>
          <cell r="C237">
            <v>1.6</v>
          </cell>
          <cell r="D237">
            <v>8</v>
          </cell>
          <cell r="E237">
            <v>11.9</v>
          </cell>
          <cell r="F237">
            <v>125</v>
          </cell>
          <cell r="G237">
            <v>46.43</v>
          </cell>
          <cell r="H237">
            <v>15.26</v>
          </cell>
          <cell r="I237">
            <v>1.03</v>
          </cell>
          <cell r="J237">
            <v>38.86</v>
          </cell>
          <cell r="K237" t="str">
            <v>7*38</v>
          </cell>
        </row>
        <row r="238">
          <cell r="A238" t="str">
            <v>Чай без сахара</v>
          </cell>
          <cell r="B238">
            <v>200</v>
          </cell>
          <cell r="C238">
            <v>0.2</v>
          </cell>
          <cell r="D238">
            <v>0</v>
          </cell>
          <cell r="E238">
            <v>13.7</v>
          </cell>
          <cell r="F238">
            <v>53</v>
          </cell>
          <cell r="G238">
            <v>0.2</v>
          </cell>
          <cell r="H238">
            <v>0</v>
          </cell>
          <cell r="I238">
            <v>0.02</v>
          </cell>
          <cell r="J238">
            <v>0</v>
          </cell>
          <cell r="K238" t="str">
            <v>11*56</v>
          </cell>
        </row>
        <row r="239">
          <cell r="A239" t="str">
            <v>Салат из отварной свеклы с яблоками и растительным маслом (без сахара)</v>
          </cell>
          <cell r="B239" t="str">
            <v>100</v>
          </cell>
          <cell r="C239">
            <v>2.08</v>
          </cell>
          <cell r="D239">
            <v>5.84</v>
          </cell>
          <cell r="E239">
            <v>5.2</v>
          </cell>
          <cell r="F239">
            <v>84</v>
          </cell>
          <cell r="G239">
            <v>65.12</v>
          </cell>
          <cell r="H239">
            <v>16.8</v>
          </cell>
          <cell r="I239">
            <v>0.96</v>
          </cell>
          <cell r="J239">
            <v>1.52</v>
          </cell>
          <cell r="K239" t="str">
            <v>7*34</v>
          </cell>
        </row>
        <row r="240">
          <cell r="A240" t="str">
            <v>Отвар из яблок и кураги без сахара</v>
          </cell>
          <cell r="B240">
            <v>200</v>
          </cell>
          <cell r="C240">
            <v>0.4</v>
          </cell>
          <cell r="D240">
            <v>0</v>
          </cell>
          <cell r="E240">
            <v>32.5</v>
          </cell>
          <cell r="F240">
            <v>126</v>
          </cell>
          <cell r="G240">
            <v>0.6</v>
          </cell>
          <cell r="H240">
            <v>0</v>
          </cell>
          <cell r="I240">
            <v>0.1</v>
          </cell>
          <cell r="J240">
            <v>0</v>
          </cell>
          <cell r="K240" t="str">
            <v>11*58</v>
          </cell>
        </row>
        <row r="241">
          <cell r="A241" t="str">
            <v xml:space="preserve">Омлет натуральный с маслом сливочным </v>
          </cell>
          <cell r="B241" t="str">
            <v>200</v>
          </cell>
          <cell r="C241">
            <v>18.399999999999999</v>
          </cell>
          <cell r="D241">
            <v>27</v>
          </cell>
          <cell r="E241">
            <v>4.8</v>
          </cell>
          <cell r="F241">
            <v>335</v>
          </cell>
          <cell r="G241">
            <v>80.59</v>
          </cell>
          <cell r="H241">
            <v>12.5</v>
          </cell>
          <cell r="I241">
            <v>1.56</v>
          </cell>
          <cell r="J241">
            <v>0.27</v>
          </cell>
          <cell r="K241" t="str">
            <v>4*56</v>
          </cell>
        </row>
        <row r="242">
          <cell r="A242" t="str">
            <v>Омлет безмолочный запеченный или паровой</v>
          </cell>
          <cell r="B242" t="str">
            <v>200</v>
          </cell>
          <cell r="C242">
            <v>18.399999999999999</v>
          </cell>
          <cell r="D242">
            <v>27</v>
          </cell>
          <cell r="E242">
            <v>4.8</v>
          </cell>
          <cell r="F242">
            <v>335</v>
          </cell>
          <cell r="G242">
            <v>80.59</v>
          </cell>
          <cell r="H242">
            <v>12.5</v>
          </cell>
          <cell r="I242">
            <v>1.56</v>
          </cell>
          <cell r="J242">
            <v>0.27</v>
          </cell>
          <cell r="K242" t="str">
            <v>4*56</v>
          </cell>
        </row>
        <row r="243">
          <cell r="A243" t="str">
            <v xml:space="preserve">Биточки мясокапустные </v>
          </cell>
          <cell r="B243" t="str">
            <v>100</v>
          </cell>
          <cell r="C243">
            <v>28.25</v>
          </cell>
          <cell r="D243">
            <v>12.25</v>
          </cell>
          <cell r="E243">
            <v>19.75</v>
          </cell>
          <cell r="F243">
            <v>305</v>
          </cell>
          <cell r="G243">
            <v>39.362499999999997</v>
          </cell>
          <cell r="H243">
            <v>55.4375</v>
          </cell>
          <cell r="I243">
            <v>2.7749999999999999</v>
          </cell>
          <cell r="J243">
            <v>11.3375</v>
          </cell>
          <cell r="K243" t="str">
            <v>9*60</v>
          </cell>
        </row>
        <row r="244">
          <cell r="A244" t="str">
            <v>Каша жидкая геркулесовая с маслом без сахара</v>
          </cell>
          <cell r="B244" t="str">
            <v>250</v>
          </cell>
          <cell r="C244">
            <v>8.6999999999999993</v>
          </cell>
          <cell r="D244">
            <v>11.3</v>
          </cell>
          <cell r="E244">
            <v>43.5</v>
          </cell>
          <cell r="F244">
            <v>310</v>
          </cell>
          <cell r="G244">
            <v>102.59</v>
          </cell>
          <cell r="H244">
            <v>18.5</v>
          </cell>
          <cell r="I244">
            <v>0.25</v>
          </cell>
          <cell r="J244">
            <v>0.44</v>
          </cell>
          <cell r="K244" t="str">
            <v>2*61</v>
          </cell>
        </row>
        <row r="245">
          <cell r="A245" t="str">
            <v>Кофейный напиток без сахара</v>
          </cell>
          <cell r="B245">
            <v>200</v>
          </cell>
          <cell r="C245">
            <v>0.2</v>
          </cell>
          <cell r="D245">
            <v>0</v>
          </cell>
          <cell r="E245">
            <v>13.7</v>
          </cell>
          <cell r="F245">
            <v>53</v>
          </cell>
          <cell r="G245">
            <v>0.2</v>
          </cell>
          <cell r="H245">
            <v>0</v>
          </cell>
          <cell r="I245">
            <v>0.02</v>
          </cell>
          <cell r="J245">
            <v>0</v>
          </cell>
          <cell r="K245" t="str">
            <v>11*56</v>
          </cell>
        </row>
        <row r="246">
          <cell r="A246" t="str">
            <v>Шницель мясной</v>
          </cell>
          <cell r="B246" t="str">
            <v>100</v>
          </cell>
          <cell r="C246">
            <v>12.9</v>
          </cell>
          <cell r="D246">
            <v>13.1</v>
          </cell>
          <cell r="E246">
            <v>11.8</v>
          </cell>
          <cell r="F246">
            <v>217</v>
          </cell>
          <cell r="G246">
            <v>19.89</v>
          </cell>
          <cell r="H246">
            <v>23.01</v>
          </cell>
          <cell r="I246">
            <v>2.13</v>
          </cell>
          <cell r="J246">
            <v>3</v>
          </cell>
          <cell r="K246" t="str">
            <v>8*79</v>
          </cell>
        </row>
        <row r="247">
          <cell r="A247" t="str">
            <v>Ризотто с овощами</v>
          </cell>
          <cell r="B247" t="str">
            <v>100</v>
          </cell>
          <cell r="C247">
            <v>2.4</v>
          </cell>
          <cell r="D247">
            <v>3.7</v>
          </cell>
          <cell r="E247">
            <v>23.4</v>
          </cell>
          <cell r="F247">
            <v>138</v>
          </cell>
          <cell r="G247">
            <v>8.9</v>
          </cell>
          <cell r="H247">
            <v>17.739999999999998</v>
          </cell>
          <cell r="I247">
            <v>0.41</v>
          </cell>
          <cell r="J247">
            <v>0.31</v>
          </cell>
          <cell r="K247" t="str">
            <v>5*7</v>
          </cell>
        </row>
        <row r="248">
          <cell r="A248" t="str">
            <v>Закуска из припущенной моркови и яблок с растительным маслом</v>
          </cell>
          <cell r="B248" t="str">
            <v>100</v>
          </cell>
          <cell r="C248">
            <v>1</v>
          </cell>
          <cell r="D248">
            <v>6</v>
          </cell>
          <cell r="E248">
            <v>9.4</v>
          </cell>
          <cell r="F248">
            <v>99</v>
          </cell>
          <cell r="G248">
            <v>22.3</v>
          </cell>
          <cell r="H248">
            <v>0</v>
          </cell>
          <cell r="I248">
            <v>0.9</v>
          </cell>
          <cell r="J248">
            <v>3</v>
          </cell>
          <cell r="K248" t="str">
            <v>7*65</v>
          </cell>
        </row>
        <row r="249">
          <cell r="A249" t="str">
            <v>Биточек из мяса говядины и курицы</v>
          </cell>
          <cell r="B249" t="str">
            <v>100</v>
          </cell>
          <cell r="C249">
            <v>13.68</v>
          </cell>
          <cell r="D249">
            <v>11.36</v>
          </cell>
          <cell r="E249">
            <v>4.24</v>
          </cell>
          <cell r="F249">
            <v>174.4</v>
          </cell>
          <cell r="G249">
            <v>11.183999999999999</v>
          </cell>
          <cell r="H249">
            <v>15.304</v>
          </cell>
          <cell r="I249">
            <v>1.1519999999999999</v>
          </cell>
          <cell r="J249">
            <v>0.14399999999999999</v>
          </cell>
          <cell r="K249" t="str">
            <v>8*23</v>
          </cell>
        </row>
        <row r="250">
          <cell r="A250" t="str">
            <v>Филе куриное по-милански</v>
          </cell>
          <cell r="B250" t="str">
            <v>100</v>
          </cell>
          <cell r="C250">
            <v>12.9</v>
          </cell>
          <cell r="D250">
            <v>13.1</v>
          </cell>
          <cell r="E250">
            <v>11.8</v>
          </cell>
          <cell r="F250">
            <v>217</v>
          </cell>
          <cell r="G250">
            <v>19.89</v>
          </cell>
          <cell r="H250">
            <v>23.01</v>
          </cell>
          <cell r="I250">
            <v>2.13</v>
          </cell>
          <cell r="J250">
            <v>3</v>
          </cell>
          <cell r="K250" t="str">
            <v>8*79</v>
          </cell>
        </row>
        <row r="251">
          <cell r="A251" t="str">
            <v xml:space="preserve">Рис с овощами </v>
          </cell>
          <cell r="B251" t="str">
            <v>100</v>
          </cell>
          <cell r="C251">
            <v>2.8</v>
          </cell>
          <cell r="D251">
            <v>2</v>
          </cell>
          <cell r="E251">
            <v>25</v>
          </cell>
          <cell r="F251">
            <v>129.19999999999999</v>
          </cell>
          <cell r="G251">
            <v>5.93</v>
          </cell>
          <cell r="H251">
            <v>14.63</v>
          </cell>
          <cell r="I251">
            <v>3.36</v>
          </cell>
          <cell r="J251">
            <v>1.19</v>
          </cell>
          <cell r="K251" t="str">
            <v>5*2</v>
          </cell>
        </row>
        <row r="252">
          <cell r="A252" t="str">
            <v>Свинина запеченная под сыром с овощами</v>
          </cell>
          <cell r="B252" t="str">
            <v>100</v>
          </cell>
          <cell r="C252">
            <v>15.7</v>
          </cell>
          <cell r="D252">
            <v>15.7</v>
          </cell>
          <cell r="E252">
            <v>19.8</v>
          </cell>
          <cell r="F252">
            <v>289</v>
          </cell>
          <cell r="G252">
            <v>24.5</v>
          </cell>
          <cell r="H252">
            <v>2.8</v>
          </cell>
          <cell r="I252">
            <v>0</v>
          </cell>
          <cell r="J252">
            <v>10.7</v>
          </cell>
          <cell r="K252" t="str">
            <v>8*52</v>
          </cell>
        </row>
        <row r="253">
          <cell r="A253" t="str">
            <v xml:space="preserve">Картофель по-деревенски </v>
          </cell>
          <cell r="B253" t="str">
            <v>100</v>
          </cell>
          <cell r="C253">
            <v>2.2200000000000002</v>
          </cell>
          <cell r="D253">
            <v>4.38</v>
          </cell>
          <cell r="E253">
            <v>16.97</v>
          </cell>
          <cell r="F253">
            <v>121.1</v>
          </cell>
          <cell r="G253">
            <v>11.1</v>
          </cell>
          <cell r="H253">
            <v>21.58</v>
          </cell>
          <cell r="I253">
            <v>0.85</v>
          </cell>
          <cell r="J253">
            <v>12.84</v>
          </cell>
          <cell r="K253" t="str">
            <v>5*51</v>
          </cell>
        </row>
      </sheetData>
      <sheetData sheetId="2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Арт-Этюд"/>
      <sheetName val="1 Мл"/>
      <sheetName val="1 Ст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АЭ Ст"/>
      <sheetName val="Реес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кукурузой, луком и раст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 xml:space="preserve">Гуляш 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  <cell r="K223">
            <v>0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64"/>
      <sheetName val="85"/>
      <sheetName val="109 (1)"/>
      <sheetName val="109 (2)"/>
      <sheetName val="181 (1)"/>
      <sheetName val="181 (2)"/>
      <sheetName val="1 Ст"/>
      <sheetName val="Арт-Этюд"/>
      <sheetName val="Реестр"/>
      <sheetName val="1 Мл"/>
      <sheetName val="16 Мл"/>
      <sheetName val="16 Ст"/>
      <sheetName val="17 Мл"/>
      <sheetName val="17 Ст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Лист1"/>
      <sheetName val="АЭ 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Наименование</v>
          </cell>
          <cell r="B1" t="str">
            <v>Выход, г</v>
          </cell>
          <cell r="C1" t="str">
            <v>Белки, г</v>
          </cell>
          <cell r="D1" t="str">
            <v>Жиры, г</v>
          </cell>
          <cell r="E1" t="str">
            <v>Углеводы, г</v>
          </cell>
          <cell r="F1" t="str">
            <v>Энергетическая ценность, ккал</v>
          </cell>
          <cell r="G1" t="str">
            <v>Ca, мг</v>
          </cell>
          <cell r="H1" t="str">
            <v>Mg, мг</v>
          </cell>
          <cell r="I1" t="str">
            <v>Fe, мг</v>
          </cell>
          <cell r="J1" t="str">
            <v>С, мг</v>
          </cell>
          <cell r="K1" t="str">
            <v>Номер ТК*ТТК</v>
          </cell>
        </row>
        <row r="2">
          <cell r="A2" t="str">
            <v>Бутерброд с сыром 40/40</v>
          </cell>
          <cell r="B2" t="str">
            <v>80</v>
          </cell>
          <cell r="C2">
            <v>12.32</v>
          </cell>
          <cell r="D2">
            <v>12.12</v>
          </cell>
          <cell r="E2">
            <v>19.68</v>
          </cell>
          <cell r="F2">
            <v>237.08</v>
          </cell>
          <cell r="G2">
            <v>360</v>
          </cell>
          <cell r="H2">
            <v>19.600000000000001</v>
          </cell>
          <cell r="I2">
            <v>0.84</v>
          </cell>
          <cell r="J2">
            <v>0.28000000000000003</v>
          </cell>
          <cell r="K2" t="str">
            <v>1*1</v>
          </cell>
        </row>
        <row r="3">
          <cell r="A3" t="str">
            <v>Бутерброд с сыром 20/20</v>
          </cell>
          <cell r="B3" t="str">
            <v>40</v>
          </cell>
          <cell r="C3">
            <v>5.3</v>
          </cell>
          <cell r="D3">
            <v>9.02</v>
          </cell>
          <cell r="E3">
            <v>8.34</v>
          </cell>
          <cell r="F3">
            <v>140.57</v>
          </cell>
          <cell r="G3">
            <v>180</v>
          </cell>
          <cell r="H3">
            <v>9.8000000000000007</v>
          </cell>
          <cell r="I3">
            <v>0.42</v>
          </cell>
          <cell r="J3">
            <v>0.14000000000000001</v>
          </cell>
          <cell r="K3" t="str">
            <v>1*4</v>
          </cell>
        </row>
        <row r="4">
          <cell r="A4" t="str">
            <v>Бутерброд с сыром 20/10</v>
          </cell>
          <cell r="B4" t="str">
            <v>30</v>
          </cell>
          <cell r="C4">
            <v>3.76</v>
          </cell>
          <cell r="D4">
            <v>3.05</v>
          </cell>
          <cell r="E4">
            <v>9.64</v>
          </cell>
          <cell r="F4">
            <v>81.055800000000005</v>
          </cell>
          <cell r="G4">
            <v>90.16</v>
          </cell>
          <cell r="H4">
            <v>6.17</v>
          </cell>
          <cell r="I4">
            <v>0.31</v>
          </cell>
          <cell r="J4">
            <v>7.0000000000000007E-2</v>
          </cell>
          <cell r="K4" t="str">
            <v>1*5</v>
          </cell>
        </row>
        <row r="5">
          <cell r="A5" t="str">
            <v>Бутерброд с маслом 20/10</v>
          </cell>
          <cell r="B5" t="str">
            <v>30</v>
          </cell>
          <cell r="C5">
            <v>1.3</v>
          </cell>
          <cell r="D5">
            <v>10.8</v>
          </cell>
          <cell r="E5">
            <v>8.1999999999999993</v>
          </cell>
          <cell r="F5">
            <v>135.19999999999999</v>
          </cell>
          <cell r="G5">
            <v>1.36</v>
          </cell>
          <cell r="H5">
            <v>4.66</v>
          </cell>
          <cell r="I5">
            <v>3.5999999999999997E-2</v>
          </cell>
          <cell r="J5">
            <v>4.3999999999999997E-2</v>
          </cell>
          <cell r="K5" t="str">
            <v>1*50</v>
          </cell>
        </row>
        <row r="6">
          <cell r="A6" t="str">
            <v>Бутерброд с сыром и маслом 20/15/10</v>
          </cell>
          <cell r="B6" t="str">
            <v>45</v>
          </cell>
          <cell r="C6">
            <v>5.08</v>
          </cell>
          <cell r="D6">
            <v>11.55</v>
          </cell>
          <cell r="E6">
            <v>9.9700000000000006</v>
          </cell>
          <cell r="F6">
            <v>164.15</v>
          </cell>
          <cell r="G6">
            <v>135.6</v>
          </cell>
          <cell r="H6">
            <v>7.89</v>
          </cell>
          <cell r="I6">
            <v>0.38</v>
          </cell>
          <cell r="J6">
            <v>0.12</v>
          </cell>
          <cell r="K6" t="str">
            <v>1*51</v>
          </cell>
        </row>
        <row r="7">
          <cell r="A7" t="str">
            <v>Бутерброд с маслом 20/20</v>
          </cell>
          <cell r="B7" t="str">
            <v>40</v>
          </cell>
          <cell r="C7">
            <v>1.65</v>
          </cell>
          <cell r="D7">
            <v>14.27</v>
          </cell>
          <cell r="E7">
            <v>9.9</v>
          </cell>
          <cell r="F7">
            <v>174.5968</v>
          </cell>
          <cell r="G7">
            <v>8.6199999999999992</v>
          </cell>
          <cell r="H7">
            <v>2.74</v>
          </cell>
          <cell r="I7">
            <v>0.25</v>
          </cell>
          <cell r="J7">
            <v>0.04</v>
          </cell>
          <cell r="K7" t="str">
            <v>1*52</v>
          </cell>
        </row>
        <row r="8">
          <cell r="A8" t="str">
            <v>Масло (порциями)</v>
          </cell>
          <cell r="B8" t="str">
            <v>10</v>
          </cell>
          <cell r="C8">
            <v>0.01</v>
          </cell>
          <cell r="D8">
            <v>8.3000000000000007</v>
          </cell>
          <cell r="E8">
            <v>0.06</v>
          </cell>
          <cell r="F8">
            <v>77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 t="str">
            <v>1*53</v>
          </cell>
        </row>
        <row r="9">
          <cell r="A9" t="str">
            <v>Сыр (порциями)</v>
          </cell>
          <cell r="B9" t="str">
            <v>10</v>
          </cell>
          <cell r="C9">
            <v>2.3199999999999998</v>
          </cell>
          <cell r="D9">
            <v>2.95</v>
          </cell>
          <cell r="E9">
            <v>0</v>
          </cell>
          <cell r="F9">
            <v>35.83</v>
          </cell>
          <cell r="G9">
            <v>88</v>
          </cell>
          <cell r="H9">
            <v>3.5</v>
          </cell>
          <cell r="I9">
            <v>0.1</v>
          </cell>
          <cell r="J9">
            <v>7.0000000000000007E-2</v>
          </cell>
          <cell r="K9" t="str">
            <v>1*54</v>
          </cell>
        </row>
        <row r="10">
          <cell r="A10" t="str">
            <v>Бутерброд с сыром и маслом 20/15/15</v>
          </cell>
          <cell r="B10" t="str">
            <v>50</v>
          </cell>
          <cell r="C10">
            <v>5.08</v>
          </cell>
          <cell r="D10">
            <v>15.077299999999999</v>
          </cell>
          <cell r="E10">
            <v>9.9700000000000006</v>
          </cell>
          <cell r="F10">
            <v>195.89570000000001</v>
          </cell>
          <cell r="G10">
            <v>138.4</v>
          </cell>
          <cell r="H10">
            <v>7.89</v>
          </cell>
          <cell r="I10">
            <v>0.39</v>
          </cell>
          <cell r="J10">
            <v>0.13</v>
          </cell>
          <cell r="K10" t="str">
            <v>1*55</v>
          </cell>
        </row>
        <row r="11">
          <cell r="A11" t="str">
            <v>Бутерброд с колбасой 20/20</v>
          </cell>
          <cell r="B11" t="str">
            <v>40</v>
          </cell>
          <cell r="C11">
            <v>4.2300000000000004</v>
          </cell>
          <cell r="D11">
            <v>7.09</v>
          </cell>
          <cell r="E11">
            <v>7.43</v>
          </cell>
          <cell r="F11">
            <v>110.45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 t="str">
            <v>1*56</v>
          </cell>
        </row>
        <row r="12">
          <cell r="A12" t="str">
            <v>Бутерброд с сыром и маслом 20/10/10</v>
          </cell>
          <cell r="B12" t="str">
            <v>40</v>
          </cell>
          <cell r="C12">
            <v>3.84</v>
          </cell>
          <cell r="D12">
            <v>10.1</v>
          </cell>
          <cell r="E12">
            <v>9.77</v>
          </cell>
          <cell r="F12">
            <v>145.38300000000001</v>
          </cell>
          <cell r="G12">
            <v>92.51</v>
          </cell>
          <cell r="H12">
            <v>6.17</v>
          </cell>
          <cell r="I12">
            <v>0.33</v>
          </cell>
          <cell r="J12">
            <v>0.09</v>
          </cell>
          <cell r="K12" t="str">
            <v>1*57</v>
          </cell>
        </row>
        <row r="13">
          <cell r="A13" t="str">
            <v>Бутерброд с сыром и маслом 20/10/5</v>
          </cell>
          <cell r="B13" t="str">
            <v>35</v>
          </cell>
          <cell r="C13">
            <v>3.8</v>
          </cell>
          <cell r="D13">
            <v>6.6</v>
          </cell>
          <cell r="E13">
            <v>9.6999999999999993</v>
          </cell>
          <cell r="F13">
            <v>116</v>
          </cell>
          <cell r="G13">
            <v>91.3</v>
          </cell>
          <cell r="H13">
            <v>6.2</v>
          </cell>
          <cell r="I13">
            <v>0.3</v>
          </cell>
          <cell r="J13">
            <v>0.1</v>
          </cell>
          <cell r="K13" t="str">
            <v>1*58</v>
          </cell>
        </row>
        <row r="14">
          <cell r="A14" t="str">
            <v>Каша геркулесовая с маслом 200/10</v>
          </cell>
          <cell r="B14" t="str">
            <v>210</v>
          </cell>
          <cell r="C14">
            <v>8.2992799999999995</v>
          </cell>
          <cell r="D14">
            <v>12.645</v>
          </cell>
          <cell r="E14">
            <v>39.234999999999999</v>
          </cell>
          <cell r="F14">
            <v>303.94211999999999</v>
          </cell>
          <cell r="G14">
            <v>142.30680000000001</v>
          </cell>
          <cell r="H14">
            <v>77.160600000000002</v>
          </cell>
          <cell r="I14">
            <v>1.90892</v>
          </cell>
          <cell r="J14">
            <v>1.27</v>
          </cell>
          <cell r="K14" t="str">
            <v>2*2</v>
          </cell>
        </row>
        <row r="15">
          <cell r="A15" t="str">
            <v>Каша вязкая рисовая с маслом 200/10</v>
          </cell>
          <cell r="B15" t="str">
            <v>210</v>
          </cell>
          <cell r="C15">
            <v>6.7</v>
          </cell>
          <cell r="D15">
            <v>10.1</v>
          </cell>
          <cell r="E15">
            <v>47.2</v>
          </cell>
          <cell r="F15">
            <v>309</v>
          </cell>
          <cell r="G15">
            <v>60.32</v>
          </cell>
          <cell r="H15">
            <v>18.87</v>
          </cell>
          <cell r="I15">
            <v>0.33</v>
          </cell>
          <cell r="J15">
            <v>0.25</v>
          </cell>
          <cell r="K15" t="str">
            <v>2*50</v>
          </cell>
        </row>
        <row r="16">
          <cell r="A16" t="str">
            <v>Каша вязкая манная с маслом 200/10</v>
          </cell>
          <cell r="B16" t="str">
            <v>210</v>
          </cell>
          <cell r="C16">
            <v>5.04</v>
          </cell>
          <cell r="D16">
            <v>8.61</v>
          </cell>
          <cell r="E16">
            <v>31.92</v>
          </cell>
          <cell r="F16">
            <v>233.1</v>
          </cell>
          <cell r="G16">
            <v>132.13</v>
          </cell>
          <cell r="H16">
            <v>23.66</v>
          </cell>
          <cell r="I16">
            <v>0.67</v>
          </cell>
          <cell r="J16">
            <v>1.32</v>
          </cell>
          <cell r="K16" t="str">
            <v>2*51</v>
          </cell>
        </row>
        <row r="17">
          <cell r="A17" t="str">
            <v>Каша вязкая пшенная с маслом 200/10</v>
          </cell>
          <cell r="B17" t="str">
            <v>210</v>
          </cell>
          <cell r="C17">
            <v>8.56</v>
          </cell>
          <cell r="D17">
            <v>11.4</v>
          </cell>
          <cell r="E17">
            <v>43.07</v>
          </cell>
          <cell r="F17">
            <v>309.10500999999999</v>
          </cell>
          <cell r="G17">
            <v>135.94</v>
          </cell>
          <cell r="H17">
            <v>59.05</v>
          </cell>
          <cell r="I17">
            <v>1.59</v>
          </cell>
          <cell r="J17">
            <v>1.32</v>
          </cell>
          <cell r="K17" t="str">
            <v>2*52</v>
          </cell>
        </row>
        <row r="18">
          <cell r="A18" t="str">
            <v xml:space="preserve">Каша молочная ассорти (рис, греча) с маслом </v>
          </cell>
          <cell r="B18" t="str">
            <v>200</v>
          </cell>
          <cell r="C18">
            <v>5.0999999999999996</v>
          </cell>
          <cell r="D18">
            <v>6.5</v>
          </cell>
          <cell r="E18">
            <v>24.7</v>
          </cell>
          <cell r="F18">
            <v>181</v>
          </cell>
          <cell r="G18">
            <v>115.1</v>
          </cell>
          <cell r="H18">
            <v>0</v>
          </cell>
          <cell r="I18">
            <v>0.9</v>
          </cell>
          <cell r="J18">
            <v>0.5</v>
          </cell>
          <cell r="K18" t="str">
            <v>2*53</v>
          </cell>
        </row>
        <row r="19">
          <cell r="A19" t="str">
            <v>Каша вязкая кукурузная с маслом 200/10</v>
          </cell>
          <cell r="B19" t="str">
            <v>210</v>
          </cell>
          <cell r="C19">
            <v>6.2</v>
          </cell>
          <cell r="D19">
            <v>9.8000000000000007</v>
          </cell>
          <cell r="E19">
            <v>29</v>
          </cell>
          <cell r="F19">
            <v>229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 t="str">
            <v>2*54</v>
          </cell>
        </row>
        <row r="20">
          <cell r="A20" t="str">
            <v>Каша ячневая молочная с маслом</v>
          </cell>
          <cell r="B20" t="str">
            <v>200</v>
          </cell>
          <cell r="C20">
            <v>6</v>
          </cell>
          <cell r="D20">
            <v>5.3</v>
          </cell>
          <cell r="E20">
            <v>30.7</v>
          </cell>
          <cell r="F20">
            <v>195</v>
          </cell>
          <cell r="G20">
            <v>58.09</v>
          </cell>
          <cell r="H20">
            <v>13.65</v>
          </cell>
          <cell r="I20">
            <v>0.37</v>
          </cell>
          <cell r="J20">
            <v>0.21</v>
          </cell>
          <cell r="K20" t="str">
            <v>2*57</v>
          </cell>
        </row>
        <row r="21">
          <cell r="A21" t="str">
            <v>Каша пшеничная молочная с маслом</v>
          </cell>
          <cell r="B21" t="str">
            <v>200</v>
          </cell>
          <cell r="C21">
            <v>6.5</v>
          </cell>
          <cell r="D21">
            <v>6</v>
          </cell>
          <cell r="E21">
            <v>31.2</v>
          </cell>
          <cell r="F21">
            <v>206</v>
          </cell>
          <cell r="G21">
            <v>48.76</v>
          </cell>
          <cell r="H21">
            <v>19.39</v>
          </cell>
          <cell r="I21">
            <v>0.52</v>
          </cell>
          <cell r="J21">
            <v>0.21</v>
          </cell>
          <cell r="K21" t="str">
            <v>2*58</v>
          </cell>
        </row>
        <row r="22">
          <cell r="A22" t="str">
            <v>Каша вязкая гречневая с маслом</v>
          </cell>
          <cell r="B22" t="str">
            <v>200</v>
          </cell>
          <cell r="C22">
            <v>6</v>
          </cell>
          <cell r="D22">
            <v>9.4</v>
          </cell>
          <cell r="E22">
            <v>31</v>
          </cell>
          <cell r="F22">
            <v>240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 t="str">
            <v>2*59</v>
          </cell>
        </row>
        <row r="23">
          <cell r="A23" t="str">
            <v>Каша жидкая пшенная с маслом</v>
          </cell>
          <cell r="B23" t="str">
            <v>250</v>
          </cell>
          <cell r="C23">
            <v>11.3</v>
          </cell>
          <cell r="D23">
            <v>12.2</v>
          </cell>
          <cell r="E23">
            <v>47.5</v>
          </cell>
          <cell r="F23">
            <v>345</v>
          </cell>
          <cell r="G23">
            <v>101.85</v>
          </cell>
          <cell r="H23">
            <v>26.15</v>
          </cell>
          <cell r="I23">
            <v>0.61</v>
          </cell>
          <cell r="J23">
            <v>0.42</v>
          </cell>
          <cell r="K23" t="str">
            <v>2*60</v>
          </cell>
        </row>
        <row r="24">
          <cell r="A24" t="str">
            <v>Каша жидкая рисовая с маслом</v>
          </cell>
          <cell r="B24" t="str">
            <v>250</v>
          </cell>
          <cell r="C24">
            <v>8.6999999999999993</v>
          </cell>
          <cell r="D24">
            <v>11.3</v>
          </cell>
          <cell r="E24">
            <v>43.5</v>
          </cell>
          <cell r="F24">
            <v>310</v>
          </cell>
          <cell r="G24">
            <v>102.59</v>
          </cell>
          <cell r="H24">
            <v>18.5</v>
          </cell>
          <cell r="I24">
            <v>0.25</v>
          </cell>
          <cell r="J24">
            <v>0.44</v>
          </cell>
          <cell r="K24" t="str">
            <v>2*61</v>
          </cell>
        </row>
        <row r="25">
          <cell r="A25" t="str">
            <v>Каша жидкая геркулесовая с маслом</v>
          </cell>
          <cell r="B25" t="str">
            <v>250</v>
          </cell>
          <cell r="C25">
            <v>10.6</v>
          </cell>
          <cell r="D25">
            <v>13.2</v>
          </cell>
          <cell r="E25">
            <v>39.200000000000003</v>
          </cell>
          <cell r="F25">
            <v>317</v>
          </cell>
          <cell r="G25">
            <v>108.96</v>
          </cell>
          <cell r="H25">
            <v>29.7</v>
          </cell>
          <cell r="I25">
            <v>0.63</v>
          </cell>
          <cell r="J25">
            <v>0.44</v>
          </cell>
          <cell r="K25" t="str">
            <v>2*62</v>
          </cell>
        </row>
        <row r="26">
          <cell r="A26" t="str">
            <v>Каша жидкая манная с маслом</v>
          </cell>
          <cell r="B26" t="str">
            <v>250</v>
          </cell>
          <cell r="C26">
            <v>3.75</v>
          </cell>
          <cell r="D26">
            <v>10.25</v>
          </cell>
          <cell r="E26">
            <v>25</v>
          </cell>
          <cell r="F26">
            <v>215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 t="str">
            <v>2*63</v>
          </cell>
        </row>
        <row r="27">
          <cell r="A27" t="str">
            <v>Каша жидкая пшеничная с маслом</v>
          </cell>
          <cell r="B27" t="str">
            <v>250</v>
          </cell>
          <cell r="C27">
            <v>6.4</v>
          </cell>
          <cell r="D27">
            <v>11</v>
          </cell>
          <cell r="E27">
            <v>22</v>
          </cell>
          <cell r="F27">
            <v>209</v>
          </cell>
          <cell r="G27">
            <v>99.97</v>
          </cell>
          <cell r="H27">
            <v>12.54</v>
          </cell>
          <cell r="I27">
            <v>0.12</v>
          </cell>
          <cell r="J27">
            <v>1.99</v>
          </cell>
          <cell r="K27" t="str">
            <v>2*64</v>
          </cell>
        </row>
        <row r="28">
          <cell r="A28" t="str">
            <v>Каша гречневая молочная с маслом</v>
          </cell>
          <cell r="B28" t="str">
            <v>200</v>
          </cell>
          <cell r="C28">
            <v>6</v>
          </cell>
          <cell r="D28">
            <v>9.4</v>
          </cell>
          <cell r="E28">
            <v>31</v>
          </cell>
          <cell r="F28">
            <v>240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str">
            <v>2*59</v>
          </cell>
        </row>
        <row r="29">
          <cell r="A29" t="str">
            <v>Запеканка творожная с льняной мукой</v>
          </cell>
          <cell r="B29" t="str">
            <v>100</v>
          </cell>
          <cell r="C29">
            <v>16.8</v>
          </cell>
          <cell r="D29">
            <v>10.8</v>
          </cell>
          <cell r="E29">
            <v>12.5</v>
          </cell>
          <cell r="F29">
            <v>217</v>
          </cell>
          <cell r="G29">
            <v>147.96</v>
          </cell>
          <cell r="H29">
            <v>23.89</v>
          </cell>
          <cell r="I29">
            <v>0.57999999999999996</v>
          </cell>
          <cell r="J29">
            <v>0.28000000000000003</v>
          </cell>
          <cell r="K29" t="str">
            <v>3*8</v>
          </cell>
        </row>
        <row r="30">
          <cell r="A30" t="str">
            <v>Запеканка творожная</v>
          </cell>
          <cell r="B30" t="str">
            <v>100</v>
          </cell>
          <cell r="C30">
            <v>16.600000000000001</v>
          </cell>
          <cell r="D30">
            <v>10.5</v>
          </cell>
          <cell r="E30">
            <v>13</v>
          </cell>
          <cell r="F30">
            <v>215</v>
          </cell>
          <cell r="G30">
            <v>146.29</v>
          </cell>
          <cell r="H30">
            <v>21.22</v>
          </cell>
          <cell r="I30">
            <v>0.55000000000000004</v>
          </cell>
          <cell r="J30">
            <v>0.28000000000000003</v>
          </cell>
          <cell r="K30" t="str">
            <v>3*9</v>
          </cell>
        </row>
        <row r="31">
          <cell r="A31" t="str">
            <v>Запеканка (сырники) из творога с морковью</v>
          </cell>
          <cell r="B31" t="str">
            <v>100</v>
          </cell>
          <cell r="C31">
            <v>13.266666666666699</v>
          </cell>
          <cell r="D31">
            <v>11.4</v>
          </cell>
          <cell r="E31">
            <v>11.3333333333333</v>
          </cell>
          <cell r="F31">
            <v>204</v>
          </cell>
          <cell r="G31">
            <v>117.333333333333</v>
          </cell>
          <cell r="H31">
            <v>23.4</v>
          </cell>
          <cell r="I31">
            <v>0.53333333333333299</v>
          </cell>
          <cell r="J31">
            <v>0.375</v>
          </cell>
          <cell r="K31" t="str">
            <v>3*11</v>
          </cell>
        </row>
        <row r="32">
          <cell r="A32" t="str">
            <v>Пудинг из творога (запеченный)</v>
          </cell>
          <cell r="B32" t="str">
            <v>200</v>
          </cell>
          <cell r="C32">
            <v>24.6</v>
          </cell>
          <cell r="D32">
            <v>19</v>
          </cell>
          <cell r="E32">
            <v>39.6</v>
          </cell>
          <cell r="F32">
            <v>358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 t="str">
            <v>3*51</v>
          </cell>
        </row>
        <row r="33">
          <cell r="A33" t="str">
            <v>Морковная запеканка</v>
          </cell>
          <cell r="B33" t="str">
            <v>150</v>
          </cell>
          <cell r="C33">
            <v>9.6</v>
          </cell>
          <cell r="D33">
            <v>9.3000000000000007</v>
          </cell>
          <cell r="E33">
            <v>20.100000000000001</v>
          </cell>
          <cell r="F33">
            <v>183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 t="str">
            <v>3*52</v>
          </cell>
        </row>
        <row r="34">
          <cell r="A34" t="str">
            <v>Суфле творожное</v>
          </cell>
          <cell r="B34" t="str">
            <v>150</v>
          </cell>
          <cell r="C34">
            <v>14.733333333333301</v>
          </cell>
          <cell r="D34">
            <v>12.133333333333301</v>
          </cell>
          <cell r="E34">
            <v>13.733333333333301</v>
          </cell>
          <cell r="F34">
            <v>224</v>
          </cell>
          <cell r="G34">
            <v>90.593333333333305</v>
          </cell>
          <cell r="H34">
            <v>12.6533333333333</v>
          </cell>
          <cell r="I34">
            <v>0.413333333333333</v>
          </cell>
          <cell r="J34">
            <v>0.15333333333333299</v>
          </cell>
          <cell r="K34" t="str">
            <v>3*55</v>
          </cell>
        </row>
        <row r="35">
          <cell r="A35">
            <v>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Яичница глазунья</v>
          </cell>
          <cell r="B36" t="str">
            <v>171</v>
          </cell>
          <cell r="C36">
            <v>21.37</v>
          </cell>
          <cell r="D36">
            <v>27.09</v>
          </cell>
          <cell r="E36">
            <v>1.35</v>
          </cell>
          <cell r="F36">
            <v>334.70819999999998</v>
          </cell>
          <cell r="G36">
            <v>92.34</v>
          </cell>
          <cell r="H36">
            <v>18.79</v>
          </cell>
          <cell r="I36">
            <v>3.81</v>
          </cell>
          <cell r="J36">
            <v>3.81</v>
          </cell>
          <cell r="K36" t="str">
            <v>4*3</v>
          </cell>
        </row>
        <row r="37">
          <cell r="A37" t="str">
            <v>Омлет с горошком</v>
          </cell>
          <cell r="B37" t="str">
            <v>200</v>
          </cell>
          <cell r="C37">
            <v>15.7</v>
          </cell>
          <cell r="D37">
            <v>12.866666666666699</v>
          </cell>
          <cell r="E37">
            <v>7.2666666666666702</v>
          </cell>
          <cell r="F37">
            <v>207.45</v>
          </cell>
          <cell r="G37">
            <v>125</v>
          </cell>
          <cell r="H37">
            <v>29.5</v>
          </cell>
          <cell r="I37">
            <v>2.9</v>
          </cell>
          <cell r="J37">
            <v>5.67</v>
          </cell>
          <cell r="K37" t="str">
            <v>4*6</v>
          </cell>
        </row>
        <row r="38">
          <cell r="A38" t="str">
            <v xml:space="preserve">Омлет с сосисками </v>
          </cell>
          <cell r="B38">
            <v>200</v>
          </cell>
          <cell r="C38">
            <v>21.45</v>
          </cell>
          <cell r="D38">
            <v>32.119999999999997</v>
          </cell>
          <cell r="E38">
            <v>3.7</v>
          </cell>
          <cell r="F38">
            <v>389.68</v>
          </cell>
          <cell r="G38">
            <v>138.13</v>
          </cell>
          <cell r="H38">
            <v>26.66</v>
          </cell>
          <cell r="I38">
            <v>3.63</v>
          </cell>
          <cell r="J38">
            <v>0.65</v>
          </cell>
          <cell r="K38" t="str">
            <v>4*52</v>
          </cell>
        </row>
        <row r="39">
          <cell r="A39" t="str">
            <v xml:space="preserve">Омлет с сыром </v>
          </cell>
          <cell r="B39">
            <v>200</v>
          </cell>
          <cell r="C39">
            <v>21.15</v>
          </cell>
          <cell r="D39">
            <v>25.2</v>
          </cell>
          <cell r="E39">
            <v>2.97</v>
          </cell>
          <cell r="F39">
            <v>324</v>
          </cell>
          <cell r="G39">
            <v>146.376</v>
          </cell>
          <cell r="H39">
            <v>13.239000000000001</v>
          </cell>
          <cell r="I39">
            <v>1.5209999999999999</v>
          </cell>
          <cell r="J39">
            <v>0.189</v>
          </cell>
          <cell r="K39" t="str">
            <v>4*54</v>
          </cell>
        </row>
        <row r="40">
          <cell r="A40" t="str">
            <v xml:space="preserve">Омлет натуральный с маслом сливочным </v>
          </cell>
          <cell r="B40" t="str">
            <v>200</v>
          </cell>
          <cell r="C40">
            <v>18.399999999999999</v>
          </cell>
          <cell r="D40">
            <v>27</v>
          </cell>
          <cell r="E40">
            <v>4.8</v>
          </cell>
          <cell r="F40">
            <v>335</v>
          </cell>
          <cell r="G40">
            <v>80.59</v>
          </cell>
          <cell r="H40">
            <v>12.5</v>
          </cell>
          <cell r="I40">
            <v>1.56</v>
          </cell>
          <cell r="J40">
            <v>0.27</v>
          </cell>
          <cell r="K40" t="str">
            <v>4*56</v>
          </cell>
        </row>
        <row r="41">
          <cell r="A41" t="str">
            <v>Яйцо отварное 1 шт.</v>
          </cell>
          <cell r="B41" t="str">
            <v>40</v>
          </cell>
          <cell r="C41">
            <v>5.0999999999999996</v>
          </cell>
          <cell r="D41">
            <v>4.5999999999999996</v>
          </cell>
          <cell r="E41">
            <v>0.3</v>
          </cell>
          <cell r="F41">
            <v>63</v>
          </cell>
          <cell r="G41">
            <v>22</v>
          </cell>
          <cell r="H41">
            <v>4.8</v>
          </cell>
          <cell r="I41">
            <v>1</v>
          </cell>
          <cell r="J41">
            <v>0</v>
          </cell>
          <cell r="K41" t="str">
            <v>4*57</v>
          </cell>
        </row>
        <row r="42">
          <cell r="A42">
            <v>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A43" t="str">
            <v xml:space="preserve">Кус-кус отварной </v>
          </cell>
          <cell r="B43" t="str">
            <v>100</v>
          </cell>
          <cell r="C43">
            <v>4.5999999999999996</v>
          </cell>
          <cell r="D43">
            <v>2.99444444444444</v>
          </cell>
          <cell r="E43">
            <v>26.016666666666701</v>
          </cell>
          <cell r="F43">
            <v>149.41579999999999</v>
          </cell>
          <cell r="G43">
            <v>8.62222222222222</v>
          </cell>
          <cell r="H43">
            <v>15.811111111111099</v>
          </cell>
          <cell r="I43">
            <v>0.38888888888888901</v>
          </cell>
          <cell r="J43">
            <v>0</v>
          </cell>
          <cell r="K43" t="str">
            <v>5*1</v>
          </cell>
        </row>
        <row r="44">
          <cell r="A44" t="str">
            <v xml:space="preserve">Рис с овощами (горошек, кукуруза) </v>
          </cell>
          <cell r="B44" t="str">
            <v>100</v>
          </cell>
          <cell r="C44">
            <v>2.8</v>
          </cell>
          <cell r="D44">
            <v>2</v>
          </cell>
          <cell r="E44">
            <v>25</v>
          </cell>
          <cell r="F44">
            <v>129.19999999999999</v>
          </cell>
          <cell r="G44">
            <v>5.93</v>
          </cell>
          <cell r="H44">
            <v>14.63</v>
          </cell>
          <cell r="I44">
            <v>3.36</v>
          </cell>
          <cell r="J44">
            <v>1.19</v>
          </cell>
          <cell r="K44" t="str">
            <v>5*2</v>
          </cell>
        </row>
        <row r="45">
          <cell r="A45" t="str">
            <v>Рис с овощами (горошек, кукуруза) и куркумой</v>
          </cell>
          <cell r="B45" t="str">
            <v>100</v>
          </cell>
          <cell r="C45">
            <v>3.32</v>
          </cell>
          <cell r="D45">
            <v>2.2999999999999998</v>
          </cell>
          <cell r="E45">
            <v>28.37</v>
          </cell>
          <cell r="F45">
            <v>147.48493999999999</v>
          </cell>
          <cell r="G45">
            <v>5.55</v>
          </cell>
          <cell r="H45">
            <v>21.84</v>
          </cell>
          <cell r="I45">
            <v>0.81</v>
          </cell>
          <cell r="J45">
            <v>0.73</v>
          </cell>
          <cell r="K45" t="str">
            <v>5*3</v>
          </cell>
        </row>
        <row r="46">
          <cell r="A46" t="str">
            <v>Рагу овощное (2 вариант)</v>
          </cell>
          <cell r="B46" t="str">
            <v>100</v>
          </cell>
          <cell r="C46">
            <v>1.64</v>
          </cell>
          <cell r="D46">
            <v>4.4800000000000004</v>
          </cell>
          <cell r="E46">
            <v>8.7200000000000006</v>
          </cell>
          <cell r="F46">
            <v>81.716663999999994</v>
          </cell>
          <cell r="G46">
            <v>23.55</v>
          </cell>
          <cell r="H46">
            <v>19.670000000000002</v>
          </cell>
          <cell r="I46">
            <v>0.56999999999999995</v>
          </cell>
          <cell r="J46">
            <v>2.74</v>
          </cell>
          <cell r="K46" t="str">
            <v>5*4</v>
          </cell>
        </row>
        <row r="47">
          <cell r="A47" t="str">
            <v xml:space="preserve">Овощи запеченные </v>
          </cell>
          <cell r="B47" t="str">
            <v>100</v>
          </cell>
          <cell r="C47">
            <v>3.94</v>
          </cell>
          <cell r="D47">
            <v>4.8099999999999996</v>
          </cell>
          <cell r="E47">
            <v>11.25</v>
          </cell>
          <cell r="F47">
            <v>104.029794</v>
          </cell>
          <cell r="G47">
            <v>79.8</v>
          </cell>
          <cell r="H47">
            <v>21.07</v>
          </cell>
          <cell r="I47">
            <v>0.9</v>
          </cell>
          <cell r="J47">
            <v>3.68</v>
          </cell>
          <cell r="K47" t="str">
            <v>5*5</v>
          </cell>
        </row>
        <row r="48">
          <cell r="A48" t="str">
            <v>Картофель тушенный с кабачками</v>
          </cell>
          <cell r="B48" t="str">
            <v>100</v>
          </cell>
          <cell r="C48">
            <v>1.55</v>
          </cell>
          <cell r="D48">
            <v>0.92</v>
          </cell>
          <cell r="E48">
            <v>13.1</v>
          </cell>
          <cell r="F48">
            <v>66.941032000000007</v>
          </cell>
          <cell r="G48">
            <v>11.7</v>
          </cell>
          <cell r="H48">
            <v>18.59</v>
          </cell>
          <cell r="I48">
            <v>0.75</v>
          </cell>
          <cell r="J48">
            <v>8.1</v>
          </cell>
          <cell r="K48" t="str">
            <v>5*6</v>
          </cell>
        </row>
        <row r="49">
          <cell r="A49" t="str">
            <v>Рис припущенный с овощами</v>
          </cell>
          <cell r="B49" t="str">
            <v>100</v>
          </cell>
          <cell r="C49">
            <v>2.4</v>
          </cell>
          <cell r="D49">
            <v>3.7</v>
          </cell>
          <cell r="E49">
            <v>23.4</v>
          </cell>
          <cell r="F49">
            <v>138</v>
          </cell>
          <cell r="G49">
            <v>8.9</v>
          </cell>
          <cell r="H49">
            <v>17.739999999999998</v>
          </cell>
          <cell r="I49">
            <v>0.41</v>
          </cell>
          <cell r="J49">
            <v>0.31</v>
          </cell>
          <cell r="K49" t="str">
            <v>5*7</v>
          </cell>
        </row>
        <row r="50">
          <cell r="A50" t="str">
            <v xml:space="preserve">Картофель запеченный </v>
          </cell>
          <cell r="B50" t="str">
            <v>100</v>
          </cell>
          <cell r="C50">
            <v>2.2200000000000002</v>
          </cell>
          <cell r="D50">
            <v>4.38</v>
          </cell>
          <cell r="E50">
            <v>16.97</v>
          </cell>
          <cell r="F50">
            <v>121.1</v>
          </cell>
          <cell r="G50">
            <v>11.1</v>
          </cell>
          <cell r="H50">
            <v>21.58</v>
          </cell>
          <cell r="I50">
            <v>0.85</v>
          </cell>
          <cell r="J50">
            <v>12.84</v>
          </cell>
          <cell r="K50" t="str">
            <v>5*51</v>
          </cell>
        </row>
        <row r="51">
          <cell r="A51" t="str">
            <v xml:space="preserve">Картофель отварной с маслом </v>
          </cell>
          <cell r="B51" t="str">
            <v>100</v>
          </cell>
          <cell r="C51">
            <v>1.99</v>
          </cell>
          <cell r="D51">
            <v>2.67</v>
          </cell>
          <cell r="E51">
            <v>15.05</v>
          </cell>
          <cell r="F51">
            <v>96.6</v>
          </cell>
          <cell r="G51">
            <v>12</v>
          </cell>
          <cell r="H51">
            <v>21.5</v>
          </cell>
          <cell r="I51">
            <v>0.86</v>
          </cell>
          <cell r="J51">
            <v>4.13</v>
          </cell>
          <cell r="K51" t="str">
            <v>5*52</v>
          </cell>
        </row>
        <row r="52">
          <cell r="A52" t="str">
            <v xml:space="preserve">Каша рассыпчатая гречневая с маслом </v>
          </cell>
          <cell r="B52" t="str">
            <v>100</v>
          </cell>
          <cell r="C52">
            <v>5</v>
          </cell>
          <cell r="D52">
            <v>4.0999999999999996</v>
          </cell>
          <cell r="E52">
            <v>21.7</v>
          </cell>
          <cell r="F52">
            <v>146</v>
          </cell>
          <cell r="G52">
            <v>10.83</v>
          </cell>
          <cell r="H52">
            <v>76.13</v>
          </cell>
          <cell r="I52">
            <v>2.62</v>
          </cell>
          <cell r="J52">
            <v>0</v>
          </cell>
          <cell r="K52" t="str">
            <v>5*53</v>
          </cell>
        </row>
        <row r="53">
          <cell r="A53" t="str">
            <v xml:space="preserve">Макаронные изделия отварные </v>
          </cell>
          <cell r="B53" t="str">
            <v>100</v>
          </cell>
          <cell r="C53">
            <v>3.5</v>
          </cell>
          <cell r="D53">
            <v>2.7</v>
          </cell>
          <cell r="E53">
            <v>22.4</v>
          </cell>
          <cell r="F53">
            <v>131</v>
          </cell>
          <cell r="G53">
            <v>8.82</v>
          </cell>
          <cell r="H53">
            <v>5.27</v>
          </cell>
          <cell r="I53">
            <v>0.54</v>
          </cell>
          <cell r="J53">
            <v>0</v>
          </cell>
          <cell r="K53" t="str">
            <v>5*54</v>
          </cell>
        </row>
        <row r="54">
          <cell r="A54" t="str">
            <v xml:space="preserve">Овощи, припущенные в молочном соусе </v>
          </cell>
          <cell r="B54" t="str">
            <v>100</v>
          </cell>
          <cell r="C54">
            <v>2.1</v>
          </cell>
          <cell r="D54">
            <v>6.6</v>
          </cell>
          <cell r="E54">
            <v>8.1999999999999993</v>
          </cell>
          <cell r="F54">
            <v>100</v>
          </cell>
          <cell r="G54">
            <v>61.077777777777797</v>
          </cell>
          <cell r="H54">
            <v>23.733333333333299</v>
          </cell>
          <cell r="I54">
            <v>0.6</v>
          </cell>
          <cell r="J54">
            <v>6.71</v>
          </cell>
          <cell r="K54" t="str">
            <v>5*55</v>
          </cell>
        </row>
        <row r="55">
          <cell r="A55" t="str">
            <v xml:space="preserve">Рис припущенный </v>
          </cell>
          <cell r="B55" t="str">
            <v>100</v>
          </cell>
          <cell r="C55">
            <v>2.46</v>
          </cell>
          <cell r="D55">
            <v>2.3199999999999998</v>
          </cell>
          <cell r="E55">
            <v>25.85</v>
          </cell>
          <cell r="F55">
            <v>134.19</v>
          </cell>
          <cell r="G55">
            <v>3.45</v>
          </cell>
          <cell r="H55">
            <v>17.440000000000001</v>
          </cell>
          <cell r="I55">
            <v>0.35</v>
          </cell>
          <cell r="J55">
            <v>0.01</v>
          </cell>
          <cell r="K55" t="str">
            <v>5*56</v>
          </cell>
        </row>
        <row r="56">
          <cell r="A56" t="str">
            <v xml:space="preserve">Капуста тушеная </v>
          </cell>
          <cell r="B56" t="str">
            <v>100</v>
          </cell>
          <cell r="C56">
            <v>2.52</v>
          </cell>
          <cell r="D56">
            <v>2.65</v>
          </cell>
          <cell r="E56">
            <v>7.53</v>
          </cell>
          <cell r="F56">
            <v>69.5</v>
          </cell>
          <cell r="G56">
            <v>59.7</v>
          </cell>
          <cell r="H56">
            <v>24.6</v>
          </cell>
          <cell r="I56">
            <v>0.92</v>
          </cell>
          <cell r="J56">
            <v>18.600000000000001</v>
          </cell>
          <cell r="K56" t="str">
            <v>5*57</v>
          </cell>
        </row>
        <row r="57">
          <cell r="A57" t="str">
            <v xml:space="preserve">Пюре картофельное </v>
          </cell>
          <cell r="B57" t="str">
            <v>100</v>
          </cell>
          <cell r="C57">
            <v>2.2000000000000002</v>
          </cell>
          <cell r="D57">
            <v>2.8</v>
          </cell>
          <cell r="E57">
            <v>14.1</v>
          </cell>
          <cell r="F57">
            <v>92</v>
          </cell>
          <cell r="G57">
            <v>31.02</v>
          </cell>
          <cell r="H57">
            <v>21.83</v>
          </cell>
          <cell r="I57">
            <v>0.8</v>
          </cell>
          <cell r="J57">
            <v>6.1</v>
          </cell>
          <cell r="K57" t="str">
            <v>5*58</v>
          </cell>
        </row>
        <row r="58">
          <cell r="A58" t="str">
            <v xml:space="preserve">Макаронные изделия отварные с сыром </v>
          </cell>
          <cell r="B58" t="str">
            <v>100</v>
          </cell>
          <cell r="C58">
            <v>4.45</v>
          </cell>
          <cell r="D58">
            <v>3.1</v>
          </cell>
          <cell r="E58">
            <v>18.5</v>
          </cell>
          <cell r="F58">
            <v>124</v>
          </cell>
          <cell r="G58">
            <v>51.05</v>
          </cell>
          <cell r="H58">
            <v>0</v>
          </cell>
          <cell r="I58">
            <v>0.45</v>
          </cell>
          <cell r="J58">
            <v>0</v>
          </cell>
          <cell r="K58" t="str">
            <v>5*59</v>
          </cell>
        </row>
        <row r="59">
          <cell r="A59" t="str">
            <v>Картофельное пюре с морковью</v>
          </cell>
          <cell r="B59" t="str">
            <v>100</v>
          </cell>
          <cell r="C59">
            <v>1.85</v>
          </cell>
          <cell r="D59">
            <v>2.35</v>
          </cell>
          <cell r="E59">
            <v>10.9</v>
          </cell>
          <cell r="F59">
            <v>76</v>
          </cell>
          <cell r="G59">
            <v>56.8</v>
          </cell>
          <cell r="H59">
            <v>0</v>
          </cell>
          <cell r="I59">
            <v>1.4</v>
          </cell>
          <cell r="J59">
            <v>5.5</v>
          </cell>
          <cell r="K59" t="str">
            <v>5*60</v>
          </cell>
        </row>
        <row r="60">
          <cell r="A60" t="str">
            <v>Каша перловая с овощами</v>
          </cell>
          <cell r="B60" t="str">
            <v>100</v>
          </cell>
          <cell r="C60">
            <v>3.25</v>
          </cell>
          <cell r="D60">
            <v>2.95</v>
          </cell>
          <cell r="E60">
            <v>21.5</v>
          </cell>
          <cell r="F60">
            <v>133.5</v>
          </cell>
          <cell r="G60">
            <v>24.95</v>
          </cell>
          <cell r="H60">
            <v>0</v>
          </cell>
          <cell r="I60">
            <v>0.8</v>
          </cell>
          <cell r="J60">
            <v>0.55000000000000004</v>
          </cell>
          <cell r="K60" t="str">
            <v>5*61</v>
          </cell>
        </row>
        <row r="61">
          <cell r="A61" t="str">
            <v>Капуста цветная отварная</v>
          </cell>
          <cell r="B61" t="str">
            <v>100</v>
          </cell>
          <cell r="C61">
            <v>2.4</v>
          </cell>
          <cell r="D61">
            <v>3.5</v>
          </cell>
          <cell r="E61">
            <v>3.4</v>
          </cell>
          <cell r="F61">
            <v>54</v>
          </cell>
          <cell r="G61">
            <v>2.34</v>
          </cell>
          <cell r="H61">
            <v>1.53</v>
          </cell>
          <cell r="I61">
            <v>0.13</v>
          </cell>
          <cell r="J61">
            <v>1.4</v>
          </cell>
          <cell r="K61" t="str">
            <v>5*62</v>
          </cell>
        </row>
        <row r="62">
          <cell r="A62" t="str">
            <v>Каша гречневая вязкая</v>
          </cell>
          <cell r="B62" t="str">
            <v>100</v>
          </cell>
          <cell r="C62">
            <v>3</v>
          </cell>
          <cell r="D62">
            <v>2.6</v>
          </cell>
          <cell r="E62">
            <v>13.3</v>
          </cell>
          <cell r="F62">
            <v>90</v>
          </cell>
          <cell r="G62">
            <v>6.23</v>
          </cell>
          <cell r="H62">
            <v>46.6</v>
          </cell>
          <cell r="I62">
            <v>1.6</v>
          </cell>
          <cell r="J62">
            <v>0</v>
          </cell>
          <cell r="K62" t="str">
            <v>5*66</v>
          </cell>
        </row>
        <row r="63">
          <cell r="A63">
            <v>0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>Уха из минтая</v>
          </cell>
          <cell r="B64" t="str">
            <v>300</v>
          </cell>
          <cell r="C64">
            <v>5.7</v>
          </cell>
          <cell r="D64">
            <v>2.9</v>
          </cell>
          <cell r="E64">
            <v>11.7</v>
          </cell>
          <cell r="F64">
            <v>96</v>
          </cell>
          <cell r="G64">
            <v>7.76</v>
          </cell>
          <cell r="H64">
            <v>5.14</v>
          </cell>
          <cell r="I64">
            <v>0.3</v>
          </cell>
          <cell r="J64">
            <v>0.48</v>
          </cell>
          <cell r="K64" t="str">
            <v>6*1</v>
          </cell>
        </row>
        <row r="65">
          <cell r="A65" t="str">
            <v>Борщ с морской капустой</v>
          </cell>
          <cell r="B65" t="str">
            <v>300</v>
          </cell>
          <cell r="C65">
            <v>6.4</v>
          </cell>
          <cell r="D65">
            <v>12.9</v>
          </cell>
          <cell r="E65">
            <v>16.3</v>
          </cell>
          <cell r="F65">
            <v>206</v>
          </cell>
          <cell r="G65">
            <v>20.03</v>
          </cell>
          <cell r="H65">
            <v>19.93</v>
          </cell>
          <cell r="I65">
            <v>1.37</v>
          </cell>
          <cell r="J65">
            <v>3.29</v>
          </cell>
          <cell r="K65" t="str">
            <v>6*2</v>
          </cell>
        </row>
        <row r="66">
          <cell r="A66" t="str">
            <v>Бульон куриный 1л</v>
          </cell>
          <cell r="B66" t="str">
            <v>100</v>
          </cell>
          <cell r="C66">
            <v>1.7</v>
          </cell>
          <cell r="D66">
            <v>2.9</v>
          </cell>
          <cell r="E66">
            <v>0.6</v>
          </cell>
          <cell r="F66">
            <v>35</v>
          </cell>
          <cell r="G66">
            <v>3.4</v>
          </cell>
          <cell r="H66">
            <v>3.11</v>
          </cell>
          <cell r="I66">
            <v>0.18</v>
          </cell>
          <cell r="J66">
            <v>0.22</v>
          </cell>
          <cell r="K66" t="str">
            <v xml:space="preserve">6*50 </v>
          </cell>
        </row>
        <row r="67">
          <cell r="A67" t="str">
            <v xml:space="preserve">Борщ с капустой с картофелем и сметаной </v>
          </cell>
          <cell r="B67" t="str">
            <v>300</v>
          </cell>
          <cell r="C67">
            <v>2.76</v>
          </cell>
          <cell r="D67">
            <v>8.64</v>
          </cell>
          <cell r="E67">
            <v>0.36</v>
          </cell>
          <cell r="F67">
            <v>152.4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 t="str">
            <v>6*51</v>
          </cell>
        </row>
        <row r="68">
          <cell r="A68" t="str">
            <v xml:space="preserve">Суп из овощей </v>
          </cell>
          <cell r="B68" t="str">
            <v>300</v>
          </cell>
          <cell r="C68">
            <v>2.64</v>
          </cell>
          <cell r="D68">
            <v>5.28</v>
          </cell>
          <cell r="E68">
            <v>14.88</v>
          </cell>
          <cell r="F68">
            <v>118.8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 t="str">
            <v>6*56</v>
          </cell>
        </row>
        <row r="69">
          <cell r="A69" t="str">
            <v xml:space="preserve">Суп картофельный с бобовыми </v>
          </cell>
          <cell r="B69" t="str">
            <v>300</v>
          </cell>
          <cell r="C69">
            <v>10.7</v>
          </cell>
          <cell r="D69">
            <v>9.3000000000000007</v>
          </cell>
          <cell r="E69">
            <v>23.4</v>
          </cell>
          <cell r="F69">
            <v>222</v>
          </cell>
          <cell r="G69">
            <v>17.260000000000002</v>
          </cell>
          <cell r="H69">
            <v>15.84</v>
          </cell>
          <cell r="I69">
            <v>0.99</v>
          </cell>
          <cell r="J69">
            <v>10.98</v>
          </cell>
          <cell r="K69" t="str">
            <v>6*57</v>
          </cell>
        </row>
        <row r="70">
          <cell r="A70" t="str">
            <v>Суп с макаронными изделиями</v>
          </cell>
          <cell r="B70" t="str">
            <v>300</v>
          </cell>
          <cell r="C70">
            <v>7.9</v>
          </cell>
          <cell r="D70">
            <v>12.8</v>
          </cell>
          <cell r="E70">
            <v>19.5</v>
          </cell>
          <cell r="F70">
            <v>225</v>
          </cell>
          <cell r="G70">
            <v>10.86</v>
          </cell>
          <cell r="H70">
            <v>6.71</v>
          </cell>
          <cell r="I70">
            <v>0.44</v>
          </cell>
          <cell r="J70">
            <v>0.4</v>
          </cell>
          <cell r="K70" t="str">
            <v>6*63</v>
          </cell>
        </row>
        <row r="71">
          <cell r="A71" t="str">
            <v xml:space="preserve">Суп-пюре из разных овощей с гренками </v>
          </cell>
          <cell r="B71" t="str">
            <v>300</v>
          </cell>
          <cell r="C71">
            <v>4.9000000000000004</v>
          </cell>
          <cell r="D71">
            <v>5.7</v>
          </cell>
          <cell r="E71">
            <v>23.5</v>
          </cell>
          <cell r="F71">
            <v>167</v>
          </cell>
          <cell r="G71">
            <v>28.9</v>
          </cell>
          <cell r="H71">
            <v>10.73</v>
          </cell>
          <cell r="I71">
            <v>0.4</v>
          </cell>
          <cell r="J71">
            <v>3.2</v>
          </cell>
          <cell r="K71" t="str">
            <v>6*65</v>
          </cell>
        </row>
        <row r="72">
          <cell r="A72" t="str">
            <v xml:space="preserve">Гренки </v>
          </cell>
          <cell r="B72" t="str">
            <v>100</v>
          </cell>
          <cell r="C72">
            <v>11.3</v>
          </cell>
          <cell r="D72">
            <v>1.1000000000000001</v>
          </cell>
          <cell r="E72">
            <v>70.5</v>
          </cell>
          <cell r="F72">
            <v>345</v>
          </cell>
          <cell r="G72">
            <v>27.72</v>
          </cell>
          <cell r="H72">
            <v>19.18</v>
          </cell>
          <cell r="I72">
            <v>1.51</v>
          </cell>
          <cell r="J72">
            <v>0</v>
          </cell>
          <cell r="K72" t="str">
            <v>6*66</v>
          </cell>
        </row>
        <row r="73">
          <cell r="A73" t="str">
            <v>Рассольник Ленинградский со сметаной</v>
          </cell>
          <cell r="B73" t="str">
            <v>300</v>
          </cell>
          <cell r="C73">
            <v>6.7</v>
          </cell>
          <cell r="D73">
            <v>14.5</v>
          </cell>
          <cell r="E73">
            <v>18.8</v>
          </cell>
          <cell r="F73">
            <v>240</v>
          </cell>
          <cell r="G73">
            <v>44</v>
          </cell>
          <cell r="H73">
            <v>35.9</v>
          </cell>
          <cell r="I73">
            <v>1.7</v>
          </cell>
          <cell r="J73">
            <v>7.3</v>
          </cell>
          <cell r="K73" t="str">
            <v>6*70</v>
          </cell>
        </row>
        <row r="74">
          <cell r="A74" t="str">
            <v>Борщ с фасолью</v>
          </cell>
          <cell r="B74" t="str">
            <v>300</v>
          </cell>
          <cell r="C74">
            <v>4.2</v>
          </cell>
          <cell r="D74">
            <v>6.45</v>
          </cell>
          <cell r="E74">
            <v>16.350000000000001</v>
          </cell>
          <cell r="F74">
            <v>139.5</v>
          </cell>
          <cell r="G74">
            <v>28.65</v>
          </cell>
          <cell r="H74">
            <v>15.885</v>
          </cell>
          <cell r="I74">
            <v>0.81</v>
          </cell>
          <cell r="J74">
            <v>3.96</v>
          </cell>
          <cell r="K74" t="str">
            <v>6*72</v>
          </cell>
        </row>
        <row r="75">
          <cell r="A75" t="str">
            <v xml:space="preserve">Щи из свежей капусты с картофелем и сметаной </v>
          </cell>
          <cell r="B75" t="str">
            <v>300</v>
          </cell>
          <cell r="C75">
            <v>6.5</v>
          </cell>
          <cell r="D75">
            <v>13.5</v>
          </cell>
          <cell r="E75">
            <v>12</v>
          </cell>
          <cell r="F75">
            <v>196</v>
          </cell>
          <cell r="G75">
            <v>22.37</v>
          </cell>
          <cell r="H75">
            <v>11.01</v>
          </cell>
          <cell r="I75">
            <v>0.5</v>
          </cell>
          <cell r="J75">
            <v>4.9400000000000004</v>
          </cell>
          <cell r="K75" t="str">
            <v>6*73</v>
          </cell>
        </row>
        <row r="76">
          <cell r="A76" t="str">
            <v>Уха из горбуши</v>
          </cell>
          <cell r="B76" t="str">
            <v>300</v>
          </cell>
          <cell r="C76">
            <v>5.7</v>
          </cell>
          <cell r="D76">
            <v>2.9</v>
          </cell>
          <cell r="E76">
            <v>11.7</v>
          </cell>
          <cell r="F76">
            <v>96</v>
          </cell>
          <cell r="G76">
            <v>7.76</v>
          </cell>
          <cell r="H76">
            <v>5.14</v>
          </cell>
          <cell r="I76">
            <v>0.3</v>
          </cell>
          <cell r="J76">
            <v>0.48</v>
          </cell>
          <cell r="K76" t="str">
            <v>6*1</v>
          </cell>
        </row>
        <row r="77">
          <cell r="A77" t="str">
            <v xml:space="preserve">Закуска огурец свежий </v>
          </cell>
          <cell r="B77" t="str">
            <v>100</v>
          </cell>
          <cell r="C77">
            <v>0.8</v>
          </cell>
          <cell r="D77">
            <v>0.1</v>
          </cell>
          <cell r="E77">
            <v>2.5</v>
          </cell>
          <cell r="F77">
            <v>14</v>
          </cell>
          <cell r="G77">
            <v>26.15</v>
          </cell>
          <cell r="H77">
            <v>13.94</v>
          </cell>
          <cell r="I77">
            <v>0.62</v>
          </cell>
          <cell r="J77">
            <v>9.8000000000000007</v>
          </cell>
          <cell r="K77" t="str">
            <v>7*11</v>
          </cell>
        </row>
        <row r="78">
          <cell r="A78" t="str">
            <v xml:space="preserve">Салат из моркови и сахара </v>
          </cell>
          <cell r="B78">
            <v>100</v>
          </cell>
          <cell r="C78">
            <v>1.2</v>
          </cell>
          <cell r="D78">
            <v>5</v>
          </cell>
          <cell r="E78">
            <v>13.9</v>
          </cell>
          <cell r="F78">
            <v>103</v>
          </cell>
          <cell r="G78">
            <v>24.05</v>
          </cell>
          <cell r="H78">
            <v>33.520000000000003</v>
          </cell>
          <cell r="I78">
            <v>0.64</v>
          </cell>
          <cell r="J78">
            <v>4.41</v>
          </cell>
          <cell r="K78" t="str">
            <v>7*12</v>
          </cell>
        </row>
        <row r="79">
          <cell r="A79" t="str">
            <v xml:space="preserve">Салат из свеклы с яблоками </v>
          </cell>
          <cell r="B79" t="str">
            <v xml:space="preserve">100 </v>
          </cell>
          <cell r="C79">
            <v>0.98980000000000001</v>
          </cell>
          <cell r="D79">
            <v>9.9842399999999998</v>
          </cell>
          <cell r="E79">
            <v>8.3633199999999999</v>
          </cell>
          <cell r="F79">
            <v>127.27064</v>
          </cell>
          <cell r="G79">
            <v>26.518799999999999</v>
          </cell>
          <cell r="H79">
            <v>15.591799999999999</v>
          </cell>
          <cell r="I79">
            <v>1.55036</v>
          </cell>
          <cell r="J79">
            <v>9.11</v>
          </cell>
          <cell r="K79" t="str">
            <v>7*16</v>
          </cell>
        </row>
        <row r="80">
          <cell r="A80" t="str">
            <v>Салат из огурцов и томатов с кукурузой</v>
          </cell>
          <cell r="B80" t="str">
            <v>100</v>
          </cell>
          <cell r="C80">
            <v>2.7</v>
          </cell>
          <cell r="D80">
            <v>10.86</v>
          </cell>
          <cell r="E80">
            <v>13.61</v>
          </cell>
          <cell r="F80">
            <v>162.97694000000001</v>
          </cell>
          <cell r="G80">
            <v>20.99</v>
          </cell>
          <cell r="H80">
            <v>32.479999999999997</v>
          </cell>
          <cell r="I80">
            <v>1.29</v>
          </cell>
          <cell r="J80">
            <v>12.67</v>
          </cell>
          <cell r="K80" t="str">
            <v>7*17</v>
          </cell>
        </row>
        <row r="81">
          <cell r="A81" t="str">
            <v>Салат из моркови, сахара и изюма</v>
          </cell>
          <cell r="B81" t="str">
            <v>100</v>
          </cell>
          <cell r="C81">
            <v>1.3</v>
          </cell>
          <cell r="D81">
            <v>3</v>
          </cell>
          <cell r="E81">
            <v>17.5</v>
          </cell>
          <cell r="F81">
            <v>100</v>
          </cell>
          <cell r="G81">
            <v>24.26</v>
          </cell>
          <cell r="H81">
            <v>33.94</v>
          </cell>
          <cell r="I81">
            <v>0.64</v>
          </cell>
          <cell r="J81">
            <v>4.47</v>
          </cell>
          <cell r="K81" t="str">
            <v>7*19</v>
          </cell>
        </row>
        <row r="82">
          <cell r="A82" t="str">
            <v xml:space="preserve">Закуска витаминка (с огурцом) </v>
          </cell>
          <cell r="B82" t="str">
            <v>100</v>
          </cell>
          <cell r="C82">
            <v>1.6</v>
          </cell>
          <cell r="D82">
            <v>7.9</v>
          </cell>
          <cell r="E82">
            <v>10.3</v>
          </cell>
          <cell r="F82">
            <v>122</v>
          </cell>
          <cell r="G82">
            <v>47.3</v>
          </cell>
          <cell r="H82">
            <v>16.3</v>
          </cell>
          <cell r="I82">
            <v>0.7</v>
          </cell>
          <cell r="J82">
            <v>38.9</v>
          </cell>
          <cell r="K82" t="str">
            <v>7*26</v>
          </cell>
        </row>
        <row r="83">
          <cell r="A83" t="str">
            <v>Салат из отварного картофеля с зеленым луком и растительным маслом</v>
          </cell>
          <cell r="B83" t="str">
            <v>100</v>
          </cell>
          <cell r="C83">
            <v>1.7</v>
          </cell>
          <cell r="D83">
            <v>6.2</v>
          </cell>
          <cell r="E83">
            <v>12.7</v>
          </cell>
          <cell r="F83">
            <v>117</v>
          </cell>
          <cell r="G83">
            <v>19.2</v>
          </cell>
          <cell r="H83">
            <v>19.399999999999999</v>
          </cell>
          <cell r="I83">
            <v>0.8</v>
          </cell>
          <cell r="J83">
            <v>6.3</v>
          </cell>
          <cell r="K83" t="str">
            <v>7*29</v>
          </cell>
        </row>
        <row r="84">
          <cell r="A84" t="str">
            <v>Салат из белокочанной капусты с кукурузой и маслом</v>
          </cell>
          <cell r="B84" t="str">
            <v>100</v>
          </cell>
          <cell r="C84">
            <v>1.6</v>
          </cell>
          <cell r="D84">
            <v>6</v>
          </cell>
          <cell r="E84">
            <v>8.4</v>
          </cell>
          <cell r="F84">
            <v>97</v>
          </cell>
          <cell r="G84">
            <v>36</v>
          </cell>
          <cell r="H84">
            <v>11.7</v>
          </cell>
          <cell r="I84">
            <v>0.5</v>
          </cell>
          <cell r="J84">
            <v>30.7</v>
          </cell>
          <cell r="K84" t="str">
            <v>7*30</v>
          </cell>
        </row>
        <row r="85">
          <cell r="A85" t="str">
            <v>Салат из отварного картофеля, кукурузы и репчатого лука с растительным маслом</v>
          </cell>
          <cell r="B85" t="str">
            <v>100</v>
          </cell>
          <cell r="C85">
            <v>2.75</v>
          </cell>
          <cell r="D85">
            <v>6.8</v>
          </cell>
          <cell r="E85">
            <v>17.61</v>
          </cell>
          <cell r="F85">
            <v>142.6292</v>
          </cell>
          <cell r="G85">
            <v>16.23</v>
          </cell>
          <cell r="H85">
            <v>29.95</v>
          </cell>
          <cell r="I85">
            <v>1.1000000000000001</v>
          </cell>
          <cell r="J85">
            <v>0</v>
          </cell>
          <cell r="K85" t="str">
            <v>7*31</v>
          </cell>
        </row>
        <row r="86">
          <cell r="A86" t="str">
            <v>Салат из отварной свеклы с изюмом и растительным маслом</v>
          </cell>
          <cell r="B86" t="str">
            <v>100</v>
          </cell>
          <cell r="C86">
            <v>1.43</v>
          </cell>
          <cell r="D86">
            <v>6.12</v>
          </cell>
          <cell r="E86">
            <v>18.149999999999999</v>
          </cell>
          <cell r="F86">
            <v>133.44399999999999</v>
          </cell>
          <cell r="G86">
            <v>37.72</v>
          </cell>
          <cell r="H86">
            <v>21.8</v>
          </cell>
          <cell r="I86">
            <v>1.43</v>
          </cell>
          <cell r="J86">
            <v>0</v>
          </cell>
          <cell r="K86" t="str">
            <v>7*32</v>
          </cell>
        </row>
        <row r="87">
          <cell r="A87" t="str">
            <v>Салат из отварного картофеля с морской капустой и растительным маслом</v>
          </cell>
          <cell r="B87" t="str">
            <v>100</v>
          </cell>
          <cell r="C87">
            <v>1.59</v>
          </cell>
          <cell r="D87">
            <v>6.2</v>
          </cell>
          <cell r="E87">
            <v>11.35</v>
          </cell>
          <cell r="F87">
            <v>107.53618400000001</v>
          </cell>
          <cell r="G87">
            <v>19.71</v>
          </cell>
          <cell r="H87">
            <v>64.55</v>
          </cell>
          <cell r="I87">
            <v>5.23</v>
          </cell>
          <cell r="J87">
            <v>0</v>
          </cell>
          <cell r="K87" t="str">
            <v>7*33</v>
          </cell>
        </row>
        <row r="88">
          <cell r="A88" t="str">
            <v>Салат из отварной свеклы с сыром и растительным маслом</v>
          </cell>
          <cell r="B88" t="str">
            <v>100</v>
          </cell>
          <cell r="C88">
            <v>2.08</v>
          </cell>
          <cell r="D88">
            <v>5.84</v>
          </cell>
          <cell r="E88">
            <v>5.2</v>
          </cell>
          <cell r="F88">
            <v>84</v>
          </cell>
          <cell r="G88">
            <v>65.12</v>
          </cell>
          <cell r="H88">
            <v>16.8</v>
          </cell>
          <cell r="I88">
            <v>0.96</v>
          </cell>
          <cell r="J88">
            <v>1.52</v>
          </cell>
          <cell r="K88" t="str">
            <v>7*34</v>
          </cell>
        </row>
        <row r="89">
          <cell r="A89" t="str">
            <v>Салат из белокочанной капусты с морковью и растительным маслом</v>
          </cell>
          <cell r="B89" t="str">
            <v>100</v>
          </cell>
          <cell r="C89">
            <v>1.74</v>
          </cell>
          <cell r="D89">
            <v>8.91</v>
          </cell>
          <cell r="E89">
            <v>11.09</v>
          </cell>
          <cell r="F89">
            <v>131.52286000000001</v>
          </cell>
          <cell r="G89">
            <v>44.98</v>
          </cell>
          <cell r="H89">
            <v>20.62</v>
          </cell>
          <cell r="I89">
            <v>0.65</v>
          </cell>
          <cell r="J89">
            <v>38.020000000000003</v>
          </cell>
          <cell r="K89" t="str">
            <v>7*35</v>
          </cell>
        </row>
        <row r="90">
          <cell r="A90" t="str">
            <v>Салат из белокочанной капусты с кукурузой, яйцом и растительным маслом</v>
          </cell>
          <cell r="B90" t="str">
            <v>100</v>
          </cell>
          <cell r="C90">
            <v>4.2300000000000004</v>
          </cell>
          <cell r="D90">
            <v>7.76</v>
          </cell>
          <cell r="E90">
            <v>15.09</v>
          </cell>
          <cell r="F90">
            <v>147.10486</v>
          </cell>
          <cell r="G90">
            <v>52.01</v>
          </cell>
          <cell r="H90">
            <v>29.4</v>
          </cell>
          <cell r="I90">
            <v>1.28</v>
          </cell>
          <cell r="J90">
            <v>39.25</v>
          </cell>
          <cell r="K90" t="str">
            <v>7*36</v>
          </cell>
        </row>
        <row r="91">
          <cell r="A91" t="str">
            <v>Салат из отварного картофеля, моркови и зеленого горошка конс с раст. маслом</v>
          </cell>
          <cell r="B91" t="str">
            <v>100</v>
          </cell>
          <cell r="C91">
            <v>1.7</v>
          </cell>
          <cell r="D91">
            <v>6.1</v>
          </cell>
          <cell r="E91">
            <v>10.1</v>
          </cell>
          <cell r="F91">
            <v>107</v>
          </cell>
          <cell r="G91">
            <v>15.4</v>
          </cell>
          <cell r="H91">
            <v>22.9</v>
          </cell>
          <cell r="I91">
            <v>0.7</v>
          </cell>
          <cell r="J91">
            <v>0</v>
          </cell>
          <cell r="K91" t="str">
            <v>7*37</v>
          </cell>
        </row>
        <row r="92">
          <cell r="A92" t="str">
            <v>Закуска витаминка (с яблоком)</v>
          </cell>
          <cell r="B92" t="str">
            <v>100</v>
          </cell>
          <cell r="C92">
            <v>1.6</v>
          </cell>
          <cell r="D92">
            <v>8</v>
          </cell>
          <cell r="E92">
            <v>11.9</v>
          </cell>
          <cell r="F92">
            <v>125</v>
          </cell>
          <cell r="G92">
            <v>46.43</v>
          </cell>
          <cell r="H92">
            <v>15.26</v>
          </cell>
          <cell r="I92">
            <v>1.03</v>
          </cell>
          <cell r="J92">
            <v>38.86</v>
          </cell>
          <cell r="K92" t="str">
            <v>7*38</v>
          </cell>
        </row>
        <row r="93">
          <cell r="A93" t="str">
            <v>Закуска соленый огурец</v>
          </cell>
          <cell r="B93" t="str">
            <v>10</v>
          </cell>
          <cell r="C93">
            <v>0.08</v>
          </cell>
          <cell r="D93">
            <v>0.01</v>
          </cell>
          <cell r="E93">
            <v>0.17</v>
          </cell>
          <cell r="F93">
            <v>1.0900000000000001</v>
          </cell>
          <cell r="G93">
            <v>2.2999999999999998</v>
          </cell>
          <cell r="H93">
            <v>1.4</v>
          </cell>
          <cell r="I93">
            <v>0.06</v>
          </cell>
          <cell r="J93">
            <v>0.5</v>
          </cell>
          <cell r="K93" t="str">
            <v>7*39</v>
          </cell>
        </row>
        <row r="94">
          <cell r="A94" t="str">
            <v>Салат из свежих огурцов томатов с растительным маслом</v>
          </cell>
          <cell r="B94">
            <v>100</v>
          </cell>
          <cell r="C94">
            <v>0.9</v>
          </cell>
          <cell r="D94">
            <v>6</v>
          </cell>
          <cell r="E94">
            <v>2.9</v>
          </cell>
          <cell r="F94">
            <v>72</v>
          </cell>
          <cell r="G94">
            <v>18.8</v>
          </cell>
          <cell r="H94">
            <v>15.8</v>
          </cell>
          <cell r="I94">
            <v>0.7</v>
          </cell>
          <cell r="J94">
            <v>16.100000000000001</v>
          </cell>
          <cell r="K94" t="str">
            <v>7*53</v>
          </cell>
        </row>
        <row r="95">
          <cell r="A95" t="str">
            <v xml:space="preserve">Закуска томат свежий </v>
          </cell>
          <cell r="B95" t="str">
            <v>100</v>
          </cell>
          <cell r="C95">
            <v>1.1000000000000001</v>
          </cell>
          <cell r="D95">
            <v>0.2</v>
          </cell>
          <cell r="E95">
            <v>3.7</v>
          </cell>
          <cell r="F95">
            <v>23</v>
          </cell>
          <cell r="G95">
            <v>17.329999999999998</v>
          </cell>
          <cell r="H95">
            <v>19.82</v>
          </cell>
          <cell r="I95">
            <v>0.91</v>
          </cell>
          <cell r="J95">
            <v>24.5</v>
          </cell>
          <cell r="K95" t="str">
            <v>7*58</v>
          </cell>
        </row>
        <row r="96">
          <cell r="A96" t="str">
            <v>Салат из свежих томатов с растительным маслом</v>
          </cell>
          <cell r="B96">
            <v>100</v>
          </cell>
          <cell r="C96">
            <v>1</v>
          </cell>
          <cell r="D96">
            <v>6.1</v>
          </cell>
          <cell r="E96">
            <v>3.5</v>
          </cell>
          <cell r="F96">
            <v>77</v>
          </cell>
          <cell r="G96">
            <v>14.7</v>
          </cell>
          <cell r="H96">
            <v>18.5</v>
          </cell>
          <cell r="I96">
            <v>0.8</v>
          </cell>
          <cell r="J96">
            <v>23</v>
          </cell>
          <cell r="K96" t="str">
            <v>7*59</v>
          </cell>
        </row>
        <row r="97">
          <cell r="A97" t="str">
            <v>Салат из свежих огурцов с растительным маслом</v>
          </cell>
          <cell r="B97" t="str">
            <v>100</v>
          </cell>
          <cell r="C97">
            <v>0.7</v>
          </cell>
          <cell r="D97">
            <v>6</v>
          </cell>
          <cell r="E97">
            <v>2.2999999999999998</v>
          </cell>
          <cell r="F97">
            <v>68</v>
          </cell>
          <cell r="G97">
            <v>23</v>
          </cell>
          <cell r="H97">
            <v>13</v>
          </cell>
          <cell r="I97">
            <v>0.6</v>
          </cell>
          <cell r="J97">
            <v>9.1999999999999993</v>
          </cell>
          <cell r="K97" t="str">
            <v>7*63</v>
          </cell>
        </row>
        <row r="98">
          <cell r="A98" t="str">
            <v>Салат из отварной свеклы с солеными огурцами и растительным маслом</v>
          </cell>
          <cell r="B98" t="str">
            <v>100</v>
          </cell>
          <cell r="C98">
            <v>1.3</v>
          </cell>
          <cell r="D98">
            <v>6</v>
          </cell>
          <cell r="E98">
            <v>6</v>
          </cell>
          <cell r="F98">
            <v>86</v>
          </cell>
          <cell r="G98">
            <v>30.8</v>
          </cell>
          <cell r="H98">
            <v>0</v>
          </cell>
          <cell r="I98">
            <v>1.1000000000000001</v>
          </cell>
          <cell r="J98">
            <v>2.4</v>
          </cell>
          <cell r="K98" t="str">
            <v>7*68</v>
          </cell>
        </row>
        <row r="99">
          <cell r="A99" t="str">
            <v>Салат из припущенной моркови и яблок с растительным маслом</v>
          </cell>
          <cell r="B99" t="str">
            <v>100</v>
          </cell>
          <cell r="C99">
            <v>1</v>
          </cell>
          <cell r="D99">
            <v>6</v>
          </cell>
          <cell r="E99">
            <v>9.4</v>
          </cell>
          <cell r="F99">
            <v>99</v>
          </cell>
          <cell r="G99">
            <v>22.3</v>
          </cell>
          <cell r="H99">
            <v>0</v>
          </cell>
          <cell r="I99">
            <v>0.9</v>
          </cell>
          <cell r="J99">
            <v>3</v>
          </cell>
          <cell r="K99" t="str">
            <v>7*65</v>
          </cell>
        </row>
        <row r="100">
          <cell r="A100" t="str">
            <v>Гуляш из говядины (Аверино)</v>
          </cell>
          <cell r="B100" t="str">
            <v>100</v>
          </cell>
          <cell r="C100">
            <v>13.9</v>
          </cell>
          <cell r="D100">
            <v>12.5</v>
          </cell>
          <cell r="E100">
            <v>3.8</v>
          </cell>
          <cell r="F100">
            <v>184</v>
          </cell>
          <cell r="G100">
            <v>12.82</v>
          </cell>
          <cell r="H100">
            <v>17.37</v>
          </cell>
          <cell r="I100">
            <v>1.95</v>
          </cell>
          <cell r="J100">
            <v>0.92</v>
          </cell>
          <cell r="K100" t="str">
            <v>8*12</v>
          </cell>
        </row>
        <row r="101">
          <cell r="A101" t="str">
            <v>Биточек домашний</v>
          </cell>
          <cell r="B101" t="str">
            <v>100</v>
          </cell>
          <cell r="C101">
            <v>13.68</v>
          </cell>
          <cell r="D101">
            <v>11.36</v>
          </cell>
          <cell r="E101">
            <v>4.24</v>
          </cell>
          <cell r="F101">
            <v>174.4</v>
          </cell>
          <cell r="G101">
            <v>11.183999999999999</v>
          </cell>
          <cell r="H101">
            <v>15.304</v>
          </cell>
          <cell r="I101">
            <v>1.1519999999999999</v>
          </cell>
          <cell r="J101">
            <v>0.14399999999999999</v>
          </cell>
          <cell r="K101" t="str">
            <v>8*23</v>
          </cell>
        </row>
        <row r="102">
          <cell r="A102" t="str">
            <v>Запеканка картофельная, фаршированная отварным мясом (говядина, кура)</v>
          </cell>
          <cell r="B102" t="str">
            <v>200</v>
          </cell>
          <cell r="C102">
            <v>17.559999999999999</v>
          </cell>
          <cell r="D102">
            <v>10.86</v>
          </cell>
          <cell r="E102">
            <v>30.66</v>
          </cell>
          <cell r="F102">
            <v>290.62111679999998</v>
          </cell>
          <cell r="G102">
            <v>31.85</v>
          </cell>
          <cell r="H102">
            <v>64.77</v>
          </cell>
          <cell r="I102">
            <v>1.98</v>
          </cell>
          <cell r="J102">
            <v>3.1</v>
          </cell>
          <cell r="K102" t="str">
            <v>8*24</v>
          </cell>
        </row>
        <row r="103">
          <cell r="A103" t="str">
            <v>Тефтели мясные (говядина, свинина)</v>
          </cell>
          <cell r="B103" t="str">
            <v>100</v>
          </cell>
          <cell r="C103">
            <v>14.3</v>
          </cell>
          <cell r="D103">
            <v>20.3</v>
          </cell>
          <cell r="E103">
            <v>5.8</v>
          </cell>
          <cell r="F103">
            <v>264</v>
          </cell>
          <cell r="G103">
            <v>13.8</v>
          </cell>
          <cell r="H103">
            <v>19</v>
          </cell>
          <cell r="I103">
            <v>1.9</v>
          </cell>
          <cell r="J103">
            <v>0.1</v>
          </cell>
          <cell r="K103" t="str">
            <v>8*25</v>
          </cell>
        </row>
        <row r="104">
          <cell r="A104" t="str">
            <v>Тефтели мясные (говядина, свинина) с отрубями</v>
          </cell>
          <cell r="B104" t="str">
            <v>100</v>
          </cell>
          <cell r="C104">
            <v>14.1</v>
          </cell>
          <cell r="D104">
            <v>21.1</v>
          </cell>
          <cell r="E104">
            <v>6</v>
          </cell>
          <cell r="F104">
            <v>271</v>
          </cell>
          <cell r="G104">
            <v>14.49</v>
          </cell>
          <cell r="H104">
            <v>25.06</v>
          </cell>
          <cell r="I104">
            <v>1.99</v>
          </cell>
          <cell r="J104">
            <v>0.12</v>
          </cell>
          <cell r="K104" t="str">
            <v>8*26</v>
          </cell>
        </row>
        <row r="105">
          <cell r="A105" t="str">
            <v>Плов со свининой</v>
          </cell>
          <cell r="B105" t="str">
            <v>200</v>
          </cell>
          <cell r="C105">
            <v>13.7</v>
          </cell>
          <cell r="D105">
            <v>25.4</v>
          </cell>
          <cell r="E105">
            <v>35.799999999999997</v>
          </cell>
          <cell r="F105">
            <v>430</v>
          </cell>
          <cell r="G105">
            <v>15.72</v>
          </cell>
          <cell r="H105">
            <v>38.99</v>
          </cell>
          <cell r="I105">
            <v>1.75</v>
          </cell>
          <cell r="J105">
            <v>1.24</v>
          </cell>
          <cell r="K105" t="str">
            <v>8*27</v>
          </cell>
        </row>
        <row r="106">
          <cell r="A106" t="str">
            <v>Запеканка картофельная, фаршированная отварным мясом говядины (вариант 2)</v>
          </cell>
          <cell r="B106" t="str">
            <v>200</v>
          </cell>
          <cell r="C106">
            <v>14.8</v>
          </cell>
          <cell r="D106">
            <v>16.8</v>
          </cell>
          <cell r="E106">
            <v>27.3</v>
          </cell>
          <cell r="F106">
            <v>328</v>
          </cell>
          <cell r="G106">
            <v>25.76</v>
          </cell>
          <cell r="H106">
            <v>0</v>
          </cell>
          <cell r="I106">
            <v>3.04</v>
          </cell>
          <cell r="J106">
            <v>14.72</v>
          </cell>
          <cell r="K106" t="str">
            <v>8*51</v>
          </cell>
        </row>
        <row r="107">
          <cell r="A107" t="str">
            <v xml:space="preserve">Мясо говядины, тушенное с овощами </v>
          </cell>
          <cell r="B107" t="str">
            <v>200</v>
          </cell>
          <cell r="C107">
            <v>15.7</v>
          </cell>
          <cell r="D107">
            <v>15.7</v>
          </cell>
          <cell r="E107">
            <v>19.8</v>
          </cell>
          <cell r="F107">
            <v>289</v>
          </cell>
          <cell r="G107">
            <v>24.5</v>
          </cell>
          <cell r="H107">
            <v>2.8</v>
          </cell>
          <cell r="I107">
            <v>0</v>
          </cell>
          <cell r="J107">
            <v>10.7</v>
          </cell>
          <cell r="K107" t="str">
            <v>8*52</v>
          </cell>
        </row>
        <row r="108">
          <cell r="A108" t="str">
            <v xml:space="preserve">Гуляш </v>
          </cell>
          <cell r="B108" t="str">
            <v>100</v>
          </cell>
          <cell r="C108">
            <v>13.9</v>
          </cell>
          <cell r="D108">
            <v>12.5</v>
          </cell>
          <cell r="E108">
            <v>3.8</v>
          </cell>
          <cell r="F108">
            <v>184</v>
          </cell>
          <cell r="G108">
            <v>12.82</v>
          </cell>
          <cell r="H108">
            <v>17.37</v>
          </cell>
          <cell r="I108">
            <v>1.95</v>
          </cell>
          <cell r="J108">
            <v>0.92</v>
          </cell>
          <cell r="K108" t="str">
            <v>8*54</v>
          </cell>
        </row>
        <row r="109">
          <cell r="A109" t="str">
            <v>Плов с говядиной</v>
          </cell>
          <cell r="B109">
            <v>200</v>
          </cell>
          <cell r="C109">
            <v>17.37</v>
          </cell>
          <cell r="D109">
            <v>9.0540000000000003</v>
          </cell>
          <cell r="E109">
            <v>30.789000000000001</v>
          </cell>
          <cell r="F109">
            <v>274.12200000000001</v>
          </cell>
          <cell r="G109">
            <v>16.596</v>
          </cell>
          <cell r="H109">
            <v>48.545999999999999</v>
          </cell>
          <cell r="I109">
            <v>2.0790000000000002</v>
          </cell>
          <cell r="J109">
            <v>1.2509999999999999</v>
          </cell>
          <cell r="K109" t="str">
            <v>8*59</v>
          </cell>
        </row>
        <row r="110">
          <cell r="A110" t="str">
            <v>Макаронник с мясом говядины</v>
          </cell>
          <cell r="B110" t="str">
            <v>200</v>
          </cell>
          <cell r="C110">
            <v>22.6</v>
          </cell>
          <cell r="D110">
            <v>25</v>
          </cell>
          <cell r="E110">
            <v>41.4</v>
          </cell>
          <cell r="F110">
            <v>488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 t="str">
            <v>8*60</v>
          </cell>
        </row>
        <row r="111">
          <cell r="A111" t="str">
            <v>Тефтели из мяса говядины с рисом</v>
          </cell>
          <cell r="B111" t="str">
            <v>100</v>
          </cell>
          <cell r="C111">
            <v>12.9</v>
          </cell>
          <cell r="D111">
            <v>13.1</v>
          </cell>
          <cell r="E111">
            <v>11.8</v>
          </cell>
          <cell r="F111">
            <v>217</v>
          </cell>
          <cell r="G111">
            <v>19.89</v>
          </cell>
          <cell r="H111">
            <v>23.01</v>
          </cell>
          <cell r="I111">
            <v>2.13</v>
          </cell>
          <cell r="J111">
            <v>3</v>
          </cell>
          <cell r="K111" t="str">
            <v>8*79</v>
          </cell>
        </row>
        <row r="112">
          <cell r="A112" t="str">
            <v>Азу из говядины</v>
          </cell>
          <cell r="B112" t="str">
            <v>100</v>
          </cell>
          <cell r="C112">
            <v>13.9</v>
          </cell>
          <cell r="D112">
            <v>12.5</v>
          </cell>
          <cell r="E112">
            <v>3.4</v>
          </cell>
          <cell r="F112">
            <v>183</v>
          </cell>
          <cell r="G112">
            <v>12.3</v>
          </cell>
          <cell r="H112">
            <v>18.2</v>
          </cell>
          <cell r="I112">
            <v>2</v>
          </cell>
          <cell r="J112">
            <v>1.1000000000000001</v>
          </cell>
          <cell r="K112" t="str">
            <v>8*80</v>
          </cell>
        </row>
        <row r="113">
          <cell r="A113" t="str">
            <v>Каша гречневая с тушенкой (говядина)</v>
          </cell>
          <cell r="B113" t="str">
            <v>200</v>
          </cell>
          <cell r="C113">
            <v>19.8</v>
          </cell>
          <cell r="D113">
            <v>15.2</v>
          </cell>
          <cell r="E113">
            <v>24.2</v>
          </cell>
          <cell r="F113">
            <v>325</v>
          </cell>
          <cell r="G113">
            <v>26.8</v>
          </cell>
          <cell r="H113">
            <v>77.7</v>
          </cell>
          <cell r="I113">
            <v>4.2</v>
          </cell>
          <cell r="J113">
            <v>0.7</v>
          </cell>
          <cell r="K113" t="str">
            <v>8*28</v>
          </cell>
        </row>
        <row r="114">
          <cell r="A114" t="str">
            <v>Соус "Болоньезе"</v>
          </cell>
          <cell r="B114">
            <v>100</v>
          </cell>
          <cell r="C114" t="str">
            <v>10,90</v>
          </cell>
          <cell r="D114">
            <v>22.4</v>
          </cell>
          <cell r="E114">
            <v>9.3000000000000007</v>
          </cell>
          <cell r="F114">
            <v>285</v>
          </cell>
          <cell r="G114">
            <v>25.2</v>
          </cell>
          <cell r="H114">
            <v>0</v>
          </cell>
          <cell r="I114">
            <v>1.9</v>
          </cell>
          <cell r="J114">
            <v>1.9</v>
          </cell>
          <cell r="K114" t="str">
            <v>8*30</v>
          </cell>
        </row>
        <row r="115">
          <cell r="A115" t="str">
            <v xml:space="preserve">Фрикасе из филе бедра в молочном соусе </v>
          </cell>
          <cell r="B115" t="str">
            <v>100</v>
          </cell>
          <cell r="C115">
            <v>13.2</v>
          </cell>
          <cell r="D115">
            <v>14.5</v>
          </cell>
          <cell r="E115">
            <v>3.7</v>
          </cell>
          <cell r="F115">
            <v>198</v>
          </cell>
          <cell r="G115">
            <v>36.1</v>
          </cell>
          <cell r="H115">
            <v>17.5</v>
          </cell>
          <cell r="I115">
            <v>1</v>
          </cell>
          <cell r="J115">
            <v>0.9</v>
          </cell>
          <cell r="K115" t="str">
            <v>9*5</v>
          </cell>
        </row>
        <row r="116">
          <cell r="A116" t="str">
            <v xml:space="preserve">Фрикасе из филе бедра в сметанном соусе </v>
          </cell>
          <cell r="B116" t="str">
            <v>100</v>
          </cell>
          <cell r="C116">
            <v>13</v>
          </cell>
          <cell r="D116">
            <v>14.4</v>
          </cell>
          <cell r="E116">
            <v>2.6</v>
          </cell>
          <cell r="F116">
            <v>192</v>
          </cell>
          <cell r="G116">
            <v>19.72</v>
          </cell>
          <cell r="H116">
            <v>13.74</v>
          </cell>
          <cell r="I116">
            <v>0.98</v>
          </cell>
          <cell r="J116">
            <v>0.71</v>
          </cell>
          <cell r="K116" t="str">
            <v>9*6</v>
          </cell>
        </row>
        <row r="117">
          <cell r="A117" t="str">
            <v xml:space="preserve">Котлета куриная </v>
          </cell>
          <cell r="B117">
            <v>100</v>
          </cell>
          <cell r="C117">
            <v>19.100000000000001</v>
          </cell>
          <cell r="D117">
            <v>3.1</v>
          </cell>
          <cell r="E117">
            <v>8.3000000000000007</v>
          </cell>
          <cell r="F117">
            <v>138</v>
          </cell>
          <cell r="G117">
            <v>41.81</v>
          </cell>
          <cell r="H117">
            <v>18.41</v>
          </cell>
          <cell r="I117">
            <v>1.17</v>
          </cell>
          <cell r="J117">
            <v>0.37</v>
          </cell>
          <cell r="K117" t="str">
            <v>9*8</v>
          </cell>
        </row>
        <row r="118">
          <cell r="A118" t="str">
            <v xml:space="preserve">Фрикасе из филе грудки в сметанном соусе </v>
          </cell>
          <cell r="B118" t="str">
            <v>100</v>
          </cell>
          <cell r="C118">
            <v>18.3</v>
          </cell>
          <cell r="D118">
            <v>5.4</v>
          </cell>
          <cell r="E118">
            <v>3</v>
          </cell>
          <cell r="F118">
            <v>134</v>
          </cell>
          <cell r="G118">
            <v>21.67</v>
          </cell>
          <cell r="H118">
            <v>16.3</v>
          </cell>
          <cell r="I118">
            <v>1.03</v>
          </cell>
          <cell r="J118">
            <v>0.85</v>
          </cell>
          <cell r="K118" t="str">
            <v>9*10</v>
          </cell>
        </row>
        <row r="119">
          <cell r="A119" t="str">
            <v>Фрикадельки куриные</v>
          </cell>
          <cell r="B119" t="str">
            <v>100</v>
          </cell>
          <cell r="C119">
            <v>15</v>
          </cell>
          <cell r="D119">
            <v>3.1</v>
          </cell>
          <cell r="E119">
            <v>6.7</v>
          </cell>
          <cell r="F119">
            <v>116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 t="str">
            <v>9*11</v>
          </cell>
        </row>
        <row r="120">
          <cell r="A120" t="str">
            <v xml:space="preserve">Птица тушенная в соусе с овощами </v>
          </cell>
          <cell r="B120" t="str">
            <v>250</v>
          </cell>
          <cell r="C120">
            <v>28.25</v>
          </cell>
          <cell r="D120">
            <v>12.25</v>
          </cell>
          <cell r="E120">
            <v>19.75</v>
          </cell>
          <cell r="F120">
            <v>305</v>
          </cell>
          <cell r="G120">
            <v>39.362499999999997</v>
          </cell>
          <cell r="H120">
            <v>55.4375</v>
          </cell>
          <cell r="I120">
            <v>2.7749999999999999</v>
          </cell>
          <cell r="J120">
            <v>11.3375</v>
          </cell>
          <cell r="K120" t="str">
            <v>9*60</v>
          </cell>
        </row>
        <row r="121">
          <cell r="A121" t="str">
            <v>Колбаски "Витаминные"</v>
          </cell>
          <cell r="B121" t="str">
            <v>100</v>
          </cell>
          <cell r="C121">
            <v>21.6</v>
          </cell>
          <cell r="D121">
            <v>2.9</v>
          </cell>
          <cell r="E121">
            <v>3</v>
          </cell>
          <cell r="F121">
            <v>126</v>
          </cell>
          <cell r="G121">
            <v>16.399999999999999</v>
          </cell>
          <cell r="H121">
            <v>21.2</v>
          </cell>
          <cell r="I121">
            <v>1.4</v>
          </cell>
          <cell r="J121">
            <v>0.4</v>
          </cell>
          <cell r="K121" t="str">
            <v>9*61</v>
          </cell>
        </row>
        <row r="122">
          <cell r="A122" t="str">
            <v>Колобки заморские с маслом</v>
          </cell>
          <cell r="B122" t="str">
            <v>100</v>
          </cell>
          <cell r="C122">
            <v>23.05</v>
          </cell>
          <cell r="D122">
            <v>10.199999999999999</v>
          </cell>
          <cell r="E122">
            <v>5.35</v>
          </cell>
          <cell r="F122">
            <v>205.4</v>
          </cell>
          <cell r="G122">
            <v>28.55</v>
          </cell>
          <cell r="H122">
            <v>31.89</v>
          </cell>
          <cell r="I122">
            <v>0.87</v>
          </cell>
          <cell r="J122">
            <v>0.22</v>
          </cell>
          <cell r="K122" t="str">
            <v>10*2</v>
          </cell>
        </row>
        <row r="123">
          <cell r="A123" t="str">
            <v>Филе горбуши запеченное с овощами</v>
          </cell>
          <cell r="B123" t="str">
            <v>100</v>
          </cell>
          <cell r="C123">
            <v>16.632000000000001</v>
          </cell>
          <cell r="D123">
            <v>9.2720000000000002</v>
          </cell>
          <cell r="E123">
            <v>3.016</v>
          </cell>
          <cell r="F123">
            <v>161.97585599999999</v>
          </cell>
          <cell r="G123">
            <v>54.463999999999999</v>
          </cell>
          <cell r="H123">
            <v>28.36</v>
          </cell>
          <cell r="I123">
            <v>0.64800000000000002</v>
          </cell>
          <cell r="J123">
            <v>0.25600000000000001</v>
          </cell>
          <cell r="K123" t="str">
            <v>10*4</v>
          </cell>
        </row>
        <row r="124">
          <cell r="A124" t="str">
            <v>Филе минтая запеченное с овощами</v>
          </cell>
          <cell r="B124" t="str">
            <v>100</v>
          </cell>
          <cell r="C124">
            <v>17.579999999999998</v>
          </cell>
          <cell r="D124">
            <v>6.03</v>
          </cell>
          <cell r="E124">
            <v>2.98</v>
          </cell>
          <cell r="F124">
            <v>136.45838000000001</v>
          </cell>
          <cell r="G124">
            <v>95.18</v>
          </cell>
          <cell r="H124">
            <v>66</v>
          </cell>
          <cell r="I124">
            <v>1.1100000000000001</v>
          </cell>
          <cell r="J124">
            <v>2.2999999999999998</v>
          </cell>
          <cell r="K124" t="str">
            <v>10*5</v>
          </cell>
        </row>
        <row r="125">
          <cell r="A125" t="str">
            <v>Тефтели из минтая</v>
          </cell>
          <cell r="B125" t="str">
            <v>100</v>
          </cell>
          <cell r="C125">
            <v>13.3</v>
          </cell>
          <cell r="D125">
            <v>2.9</v>
          </cell>
          <cell r="E125">
            <v>4.5</v>
          </cell>
          <cell r="F125">
            <v>97</v>
          </cell>
          <cell r="G125">
            <v>39.79</v>
          </cell>
          <cell r="H125">
            <v>45.74</v>
          </cell>
          <cell r="I125">
            <v>0.96</v>
          </cell>
          <cell r="J125">
            <v>0.62</v>
          </cell>
          <cell r="K125" t="str">
            <v>10*6</v>
          </cell>
        </row>
        <row r="126">
          <cell r="A126" t="str">
            <v>Пудинг рыбный из минтая (паровой)</v>
          </cell>
          <cell r="B126" t="str">
            <v>100</v>
          </cell>
          <cell r="C126">
            <v>15.6</v>
          </cell>
          <cell r="D126">
            <v>7.4</v>
          </cell>
          <cell r="E126">
            <v>7.2</v>
          </cell>
          <cell r="F126">
            <v>160</v>
          </cell>
          <cell r="G126">
            <v>31.6892307692308</v>
          </cell>
          <cell r="H126">
            <v>44.243076923076899</v>
          </cell>
          <cell r="I126">
            <v>1.89230769230769</v>
          </cell>
          <cell r="J126">
            <v>1.3</v>
          </cell>
          <cell r="K126" t="str">
            <v>10*62</v>
          </cell>
        </row>
        <row r="127">
          <cell r="A127" t="str">
            <v>Котлеты из минтая (паровые)</v>
          </cell>
          <cell r="B127" t="str">
            <v>100</v>
          </cell>
          <cell r="C127">
            <v>14.8</v>
          </cell>
          <cell r="D127">
            <v>3</v>
          </cell>
          <cell r="E127">
            <v>10</v>
          </cell>
          <cell r="F127">
            <v>126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 t="str">
            <v>10*63</v>
          </cell>
        </row>
        <row r="128">
          <cell r="A128" t="str">
            <v>Компот из кураги и яблок</v>
          </cell>
          <cell r="B128" t="str">
            <v>200</v>
          </cell>
          <cell r="C128">
            <v>0.4</v>
          </cell>
          <cell r="D128">
            <v>0.2</v>
          </cell>
          <cell r="E128">
            <v>16.100000000000001</v>
          </cell>
          <cell r="F128">
            <v>69</v>
          </cell>
          <cell r="G128">
            <v>14.3</v>
          </cell>
          <cell r="H128">
            <v>8.4</v>
          </cell>
          <cell r="I128">
            <v>1</v>
          </cell>
          <cell r="J128">
            <v>1.7</v>
          </cell>
          <cell r="K128" t="str">
            <v>11*73</v>
          </cell>
        </row>
        <row r="129">
          <cell r="A129" t="str">
            <v>Напиток ассорти из красных ягод</v>
          </cell>
          <cell r="B129">
            <v>200</v>
          </cell>
          <cell r="C129">
            <v>0.1</v>
          </cell>
          <cell r="D129">
            <v>0.1</v>
          </cell>
          <cell r="E129">
            <v>21.2</v>
          </cell>
          <cell r="F129">
            <v>83</v>
          </cell>
          <cell r="G129">
            <v>2.72</v>
          </cell>
          <cell r="H129">
            <v>0.67</v>
          </cell>
          <cell r="I129">
            <v>7.0000000000000007E-2</v>
          </cell>
          <cell r="J129">
            <v>0.6</v>
          </cell>
          <cell r="K129" t="str">
            <v>11*1</v>
          </cell>
        </row>
        <row r="130">
          <cell r="A130" t="str">
            <v>Напиток из облепихи</v>
          </cell>
          <cell r="B130">
            <v>200</v>
          </cell>
          <cell r="C130">
            <v>0.27</v>
          </cell>
          <cell r="D130">
            <v>1.23</v>
          </cell>
          <cell r="E130">
            <v>22.07</v>
          </cell>
          <cell r="F130">
            <v>96.622559999999993</v>
          </cell>
          <cell r="G130">
            <v>5.88</v>
          </cell>
          <cell r="H130">
            <v>7.2</v>
          </cell>
          <cell r="I130">
            <v>0.4</v>
          </cell>
          <cell r="J130">
            <v>24</v>
          </cell>
          <cell r="K130" t="str">
            <v>11*2</v>
          </cell>
        </row>
        <row r="131">
          <cell r="A131" t="str">
            <v>Напиток из черной смородины</v>
          </cell>
          <cell r="B131">
            <v>200</v>
          </cell>
          <cell r="C131">
            <v>0.2</v>
          </cell>
          <cell r="D131">
            <v>0.1</v>
          </cell>
          <cell r="E131">
            <v>20.9</v>
          </cell>
          <cell r="F131">
            <v>82</v>
          </cell>
          <cell r="G131">
            <v>3.43</v>
          </cell>
          <cell r="H131">
            <v>2.65</v>
          </cell>
          <cell r="I131">
            <v>0.14000000000000001</v>
          </cell>
          <cell r="J131">
            <v>7.2</v>
          </cell>
          <cell r="K131" t="str">
            <v>11*3</v>
          </cell>
        </row>
        <row r="132">
          <cell r="A132" t="str">
            <v>Чай с сахаром и молоком</v>
          </cell>
          <cell r="B132">
            <v>200</v>
          </cell>
          <cell r="C132">
            <v>1.6</v>
          </cell>
          <cell r="D132">
            <v>1.6</v>
          </cell>
          <cell r="E132">
            <v>17.3</v>
          </cell>
          <cell r="F132">
            <v>87</v>
          </cell>
          <cell r="G132">
            <v>39.5</v>
          </cell>
          <cell r="H132">
            <v>191.4</v>
          </cell>
          <cell r="I132">
            <v>3.48</v>
          </cell>
          <cell r="J132">
            <v>2.2000000000000002</v>
          </cell>
          <cell r="K132" t="str">
            <v>11*4</v>
          </cell>
        </row>
        <row r="133">
          <cell r="A133" t="str">
            <v>Кисель из облепихи</v>
          </cell>
          <cell r="B133">
            <v>200</v>
          </cell>
          <cell r="C133">
            <v>0.28000000000000003</v>
          </cell>
          <cell r="D133">
            <v>1.23</v>
          </cell>
          <cell r="E133">
            <v>27.23</v>
          </cell>
          <cell r="F133">
            <v>121.12296000000001</v>
          </cell>
          <cell r="G133">
            <v>9.48</v>
          </cell>
          <cell r="H133">
            <v>7.2</v>
          </cell>
          <cell r="I133">
            <v>0.4</v>
          </cell>
          <cell r="J133">
            <v>12</v>
          </cell>
          <cell r="K133" t="str">
            <v>11*5</v>
          </cell>
        </row>
        <row r="134">
          <cell r="A134" t="str">
            <v xml:space="preserve">Компот здоровье </v>
          </cell>
          <cell r="B134">
            <v>200</v>
          </cell>
          <cell r="C134">
            <v>0.11</v>
          </cell>
          <cell r="D134">
            <v>0.08</v>
          </cell>
          <cell r="E134">
            <v>24.85</v>
          </cell>
          <cell r="F134">
            <v>100.56444</v>
          </cell>
          <cell r="G134">
            <v>4.68</v>
          </cell>
          <cell r="H134">
            <v>2.94</v>
          </cell>
          <cell r="I134">
            <v>0.48</v>
          </cell>
          <cell r="J134">
            <v>0.8</v>
          </cell>
          <cell r="K134" t="str">
            <v>11*6</v>
          </cell>
        </row>
        <row r="135">
          <cell r="A135" t="str">
            <v>Напиток из вишни</v>
          </cell>
          <cell r="B135">
            <v>200</v>
          </cell>
          <cell r="C135">
            <v>0.1</v>
          </cell>
          <cell r="D135">
            <v>0</v>
          </cell>
          <cell r="E135">
            <v>19.2</v>
          </cell>
          <cell r="F135">
            <v>74</v>
          </cell>
          <cell r="G135">
            <v>2.95</v>
          </cell>
          <cell r="H135">
            <v>1.85</v>
          </cell>
          <cell r="I135">
            <v>0.06</v>
          </cell>
          <cell r="J135">
            <v>0.45</v>
          </cell>
          <cell r="K135" t="str">
            <v>11*7</v>
          </cell>
        </row>
        <row r="136">
          <cell r="A136" t="str">
            <v>Напиток бруснично-клубничный</v>
          </cell>
          <cell r="B136">
            <v>200</v>
          </cell>
          <cell r="C136">
            <v>0.17</v>
          </cell>
          <cell r="D136">
            <v>0.1</v>
          </cell>
          <cell r="E136">
            <v>20.97</v>
          </cell>
          <cell r="F136">
            <v>85.481160000000003</v>
          </cell>
          <cell r="G136">
            <v>8.4</v>
          </cell>
          <cell r="H136">
            <v>3</v>
          </cell>
          <cell r="I136">
            <v>0.25</v>
          </cell>
          <cell r="J136">
            <v>2.7</v>
          </cell>
          <cell r="K136" t="str">
            <v>11*8</v>
          </cell>
        </row>
        <row r="137">
          <cell r="A137" t="str">
            <v>Напиток из брусники</v>
          </cell>
          <cell r="B137">
            <v>200</v>
          </cell>
          <cell r="C137">
            <v>0.16</v>
          </cell>
          <cell r="D137">
            <v>0.11</v>
          </cell>
          <cell r="E137">
            <v>21.05</v>
          </cell>
          <cell r="F137">
            <v>85.861199999999997</v>
          </cell>
          <cell r="G137">
            <v>6.6</v>
          </cell>
          <cell r="H137">
            <v>1.68</v>
          </cell>
          <cell r="I137">
            <v>0.16</v>
          </cell>
          <cell r="J137">
            <v>0.9</v>
          </cell>
          <cell r="K137" t="str">
            <v>11*9</v>
          </cell>
        </row>
        <row r="138">
          <cell r="A138" t="str">
            <v>Напиток из клюквы</v>
          </cell>
          <cell r="B138" t="str">
            <v>200</v>
          </cell>
          <cell r="C138">
            <v>0.1</v>
          </cell>
          <cell r="D138">
            <v>0</v>
          </cell>
          <cell r="E138">
            <v>20.399999999999999</v>
          </cell>
          <cell r="F138">
            <v>82</v>
          </cell>
          <cell r="G138">
            <v>3.8</v>
          </cell>
          <cell r="H138">
            <v>3.4</v>
          </cell>
          <cell r="I138">
            <v>0.2</v>
          </cell>
          <cell r="J138">
            <v>1.4</v>
          </cell>
          <cell r="K138" t="str">
            <v>11*10</v>
          </cell>
        </row>
        <row r="139">
          <cell r="A139" t="str">
            <v>Напиток из клубники</v>
          </cell>
          <cell r="B139" t="str">
            <v>200</v>
          </cell>
          <cell r="C139">
            <v>0.18</v>
          </cell>
          <cell r="D139">
            <v>0.09</v>
          </cell>
          <cell r="E139">
            <v>21.32</v>
          </cell>
          <cell r="F139">
            <v>86.841920000000002</v>
          </cell>
          <cell r="G139">
            <v>10.199999999999999</v>
          </cell>
          <cell r="H139">
            <v>4.32</v>
          </cell>
          <cell r="I139">
            <v>0.35</v>
          </cell>
          <cell r="J139">
            <v>3.6</v>
          </cell>
          <cell r="K139" t="str">
            <v>11*11</v>
          </cell>
        </row>
        <row r="140">
          <cell r="A140" t="str">
            <v>Снежок</v>
          </cell>
          <cell r="B140" t="str">
            <v>200</v>
          </cell>
          <cell r="C140">
            <v>5.6</v>
          </cell>
          <cell r="D140">
            <v>5</v>
          </cell>
          <cell r="E140">
            <v>22</v>
          </cell>
          <cell r="F140">
            <v>156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 t="str">
            <v>11*13</v>
          </cell>
        </row>
        <row r="141">
          <cell r="A141" t="str">
            <v>Напиток из мандарин</v>
          </cell>
          <cell r="B141" t="str">
            <v>200</v>
          </cell>
          <cell r="C141">
            <v>0.11</v>
          </cell>
          <cell r="D141">
            <v>0.04</v>
          </cell>
          <cell r="E141">
            <v>21.25</v>
          </cell>
          <cell r="F141">
            <v>85.841149999999999</v>
          </cell>
          <cell r="G141">
            <v>6.15</v>
          </cell>
          <cell r="H141">
            <v>1.8</v>
          </cell>
          <cell r="I141">
            <v>0.08</v>
          </cell>
          <cell r="J141">
            <v>2</v>
          </cell>
          <cell r="K141" t="str">
            <v>11*14</v>
          </cell>
        </row>
        <row r="142">
          <cell r="A142" t="str">
            <v xml:space="preserve">Какао с молоком  </v>
          </cell>
          <cell r="B142">
            <v>200</v>
          </cell>
          <cell r="C142">
            <v>3.6</v>
          </cell>
          <cell r="D142">
            <v>2.7</v>
          </cell>
          <cell r="E142">
            <v>22.9</v>
          </cell>
          <cell r="F142">
            <v>127</v>
          </cell>
          <cell r="G142">
            <v>55.32</v>
          </cell>
          <cell r="H142">
            <v>13.49</v>
          </cell>
          <cell r="I142">
            <v>0.45</v>
          </cell>
          <cell r="J142">
            <v>0.26</v>
          </cell>
          <cell r="K142" t="str">
            <v>11*51</v>
          </cell>
        </row>
        <row r="143">
          <cell r="A143" t="str">
            <v xml:space="preserve">Компот из кураги  </v>
          </cell>
          <cell r="B143">
            <v>200</v>
          </cell>
          <cell r="C143">
            <v>1</v>
          </cell>
          <cell r="D143">
            <v>0.1</v>
          </cell>
          <cell r="E143">
            <v>29.5</v>
          </cell>
          <cell r="F143">
            <v>118</v>
          </cell>
          <cell r="G143">
            <v>15.81</v>
          </cell>
          <cell r="H143">
            <v>9.98</v>
          </cell>
          <cell r="I143">
            <v>0.34</v>
          </cell>
          <cell r="J143">
            <v>0.16</v>
          </cell>
          <cell r="K143" t="str">
            <v>11*52</v>
          </cell>
        </row>
        <row r="144">
          <cell r="A144" t="str">
            <v xml:space="preserve">Напиток из плодов шиповника  </v>
          </cell>
          <cell r="B144">
            <v>200</v>
          </cell>
          <cell r="C144">
            <v>0.8</v>
          </cell>
          <cell r="D144">
            <v>0.3</v>
          </cell>
          <cell r="E144">
            <v>30.9</v>
          </cell>
          <cell r="F144">
            <v>128</v>
          </cell>
          <cell r="G144">
            <v>7.28</v>
          </cell>
          <cell r="H144">
            <v>1.94</v>
          </cell>
          <cell r="I144">
            <v>0.38</v>
          </cell>
          <cell r="J144">
            <v>48</v>
          </cell>
          <cell r="K144" t="str">
            <v>11*53</v>
          </cell>
        </row>
        <row r="145">
          <cell r="A145" t="str">
            <v xml:space="preserve">Чай лимонный  </v>
          </cell>
          <cell r="B145">
            <v>200</v>
          </cell>
          <cell r="C145">
            <v>0.2</v>
          </cell>
          <cell r="D145">
            <v>0.1</v>
          </cell>
          <cell r="E145">
            <v>13.9</v>
          </cell>
          <cell r="F145">
            <v>55</v>
          </cell>
          <cell r="G145">
            <v>1.43</v>
          </cell>
          <cell r="H145">
            <v>0.37</v>
          </cell>
          <cell r="I145">
            <v>0.04</v>
          </cell>
          <cell r="J145">
            <v>0.56000000000000005</v>
          </cell>
          <cell r="K145" t="str">
            <v>11*54</v>
          </cell>
        </row>
        <row r="146">
          <cell r="A146" t="str">
            <v>Чай заварка</v>
          </cell>
          <cell r="B146">
            <v>1000</v>
          </cell>
          <cell r="C146">
            <v>3.8</v>
          </cell>
          <cell r="D146">
            <v>0.9</v>
          </cell>
          <cell r="E146">
            <v>0.7</v>
          </cell>
          <cell r="F146">
            <v>26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 t="str">
            <v>11*55</v>
          </cell>
        </row>
        <row r="147">
          <cell r="A147" t="str">
            <v xml:space="preserve">Чай с сахаром  </v>
          </cell>
          <cell r="B147">
            <v>200</v>
          </cell>
          <cell r="C147">
            <v>0.2</v>
          </cell>
          <cell r="D147">
            <v>0</v>
          </cell>
          <cell r="E147">
            <v>13.7</v>
          </cell>
          <cell r="F147">
            <v>53</v>
          </cell>
          <cell r="G147">
            <v>0.2</v>
          </cell>
          <cell r="H147">
            <v>0</v>
          </cell>
          <cell r="I147">
            <v>0.02</v>
          </cell>
          <cell r="J147">
            <v>0</v>
          </cell>
          <cell r="K147" t="str">
            <v>11*56</v>
          </cell>
        </row>
        <row r="148">
          <cell r="A148" t="str">
            <v xml:space="preserve">Кисель из черной смородины  </v>
          </cell>
          <cell r="B148">
            <v>200</v>
          </cell>
          <cell r="C148">
            <v>0.2</v>
          </cell>
          <cell r="D148">
            <v>0.1</v>
          </cell>
          <cell r="E148">
            <v>31.9</v>
          </cell>
          <cell r="F148">
            <v>129</v>
          </cell>
          <cell r="G148">
            <v>12.6</v>
          </cell>
          <cell r="H148">
            <v>7.1</v>
          </cell>
          <cell r="I148">
            <v>0.4</v>
          </cell>
          <cell r="J148">
            <v>19.2</v>
          </cell>
          <cell r="K148" t="str">
            <v>11*57</v>
          </cell>
        </row>
        <row r="149">
          <cell r="A149" t="str">
            <v xml:space="preserve">Компот из изюма  </v>
          </cell>
          <cell r="B149">
            <v>200</v>
          </cell>
          <cell r="C149">
            <v>0.4</v>
          </cell>
          <cell r="D149">
            <v>0</v>
          </cell>
          <cell r="E149">
            <v>32.5</v>
          </cell>
          <cell r="F149">
            <v>126</v>
          </cell>
          <cell r="G149">
            <v>0.6</v>
          </cell>
          <cell r="H149">
            <v>0</v>
          </cell>
          <cell r="I149">
            <v>0.1</v>
          </cell>
          <cell r="J149">
            <v>0</v>
          </cell>
          <cell r="K149" t="str">
            <v>11*58</v>
          </cell>
        </row>
        <row r="150">
          <cell r="A150" t="str">
            <v>Кофейный напиток</v>
          </cell>
          <cell r="B150" t="str">
            <v>200</v>
          </cell>
          <cell r="C150">
            <v>1.4</v>
          </cell>
          <cell r="D150">
            <v>1.1000000000000001</v>
          </cell>
          <cell r="E150">
            <v>16.600000000000001</v>
          </cell>
          <cell r="F150">
            <v>79</v>
          </cell>
          <cell r="G150">
            <v>26.6</v>
          </cell>
          <cell r="H150">
            <v>3.05</v>
          </cell>
          <cell r="I150">
            <v>0.04</v>
          </cell>
          <cell r="J150">
            <v>0.13</v>
          </cell>
          <cell r="K150" t="str">
            <v>11*59</v>
          </cell>
        </row>
        <row r="151">
          <cell r="A151" t="str">
            <v xml:space="preserve">Молоко кипяченое </v>
          </cell>
          <cell r="B151" t="str">
            <v>200</v>
          </cell>
          <cell r="C151">
            <v>5.9</v>
          </cell>
          <cell r="D151">
            <v>6.8</v>
          </cell>
          <cell r="E151">
            <v>9.9</v>
          </cell>
          <cell r="F151">
            <v>123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 t="str">
            <v>11*60</v>
          </cell>
        </row>
        <row r="152">
          <cell r="A152" t="str">
            <v>Кефир</v>
          </cell>
          <cell r="B152" t="str">
            <v>200</v>
          </cell>
          <cell r="C152">
            <v>5.6</v>
          </cell>
          <cell r="D152">
            <v>6.4</v>
          </cell>
          <cell r="E152">
            <v>8.1999999999999993</v>
          </cell>
          <cell r="F152">
            <v>117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 t="str">
            <v>11*61</v>
          </cell>
        </row>
        <row r="153">
          <cell r="A153" t="str">
            <v>Ряженка</v>
          </cell>
          <cell r="B153" t="str">
            <v>200</v>
          </cell>
          <cell r="C153">
            <v>6</v>
          </cell>
          <cell r="D153">
            <v>12</v>
          </cell>
          <cell r="E153">
            <v>8.1999999999999993</v>
          </cell>
          <cell r="F153">
            <v>169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 t="str">
            <v>11*62</v>
          </cell>
        </row>
        <row r="154">
          <cell r="A154" t="str">
            <v>Кисель из вишни</v>
          </cell>
          <cell r="B154" t="str">
            <v>200</v>
          </cell>
          <cell r="C154">
            <v>0.1</v>
          </cell>
          <cell r="D154">
            <v>0</v>
          </cell>
          <cell r="E154">
            <v>17.2</v>
          </cell>
          <cell r="F154">
            <v>73</v>
          </cell>
          <cell r="G154">
            <v>12</v>
          </cell>
          <cell r="H154">
            <v>11</v>
          </cell>
          <cell r="I154">
            <v>0.1</v>
          </cell>
          <cell r="J154">
            <v>18</v>
          </cell>
          <cell r="K154" t="str">
            <v>11*63</v>
          </cell>
        </row>
        <row r="155">
          <cell r="A155" t="str">
            <v>Компот из сухофруктов</v>
          </cell>
          <cell r="B155" t="str">
            <v>200</v>
          </cell>
          <cell r="C155">
            <v>1</v>
          </cell>
          <cell r="D155">
            <v>0.1</v>
          </cell>
          <cell r="E155">
            <v>19.8</v>
          </cell>
          <cell r="F155">
            <v>81</v>
          </cell>
          <cell r="G155">
            <v>15.67</v>
          </cell>
          <cell r="H155">
            <v>9.98</v>
          </cell>
          <cell r="I155">
            <v>0.32</v>
          </cell>
          <cell r="J155">
            <v>0.16</v>
          </cell>
          <cell r="K155" t="str">
            <v>11*64</v>
          </cell>
        </row>
        <row r="156">
          <cell r="A156" t="str">
            <v>Напиток из свежих яблок</v>
          </cell>
          <cell r="B156">
            <v>200</v>
          </cell>
          <cell r="C156">
            <v>0.2</v>
          </cell>
          <cell r="D156">
            <v>0.2</v>
          </cell>
          <cell r="E156">
            <v>25.3</v>
          </cell>
          <cell r="F156">
            <v>103</v>
          </cell>
          <cell r="G156">
            <v>9.9</v>
          </cell>
          <cell r="H156">
            <v>5.0999999999999996</v>
          </cell>
          <cell r="I156">
            <v>1.3</v>
          </cell>
          <cell r="J156">
            <v>2.4</v>
          </cell>
          <cell r="K156" t="str">
            <v>11*74</v>
          </cell>
        </row>
        <row r="157">
          <cell r="A157" t="str">
            <v>Чай "Каркаде" с сахаром</v>
          </cell>
          <cell r="B157" t="str">
            <v>200</v>
          </cell>
          <cell r="C157">
            <v>0.2</v>
          </cell>
          <cell r="D157">
            <v>0</v>
          </cell>
          <cell r="E157">
            <v>13.7</v>
          </cell>
          <cell r="F157">
            <v>53</v>
          </cell>
          <cell r="G157">
            <v>0.4</v>
          </cell>
          <cell r="H157">
            <v>0</v>
          </cell>
          <cell r="I157">
            <v>0</v>
          </cell>
          <cell r="J157">
            <v>0</v>
          </cell>
          <cell r="K157" t="str">
            <v>11*17</v>
          </cell>
        </row>
        <row r="158">
          <cell r="A158" t="str">
            <v>Соус из черники</v>
          </cell>
          <cell r="B158" t="str">
            <v>100</v>
          </cell>
          <cell r="C158">
            <v>0.6</v>
          </cell>
          <cell r="D158">
            <v>0.3</v>
          </cell>
          <cell r="E158">
            <v>25.8</v>
          </cell>
          <cell r="F158">
            <v>106</v>
          </cell>
          <cell r="G158">
            <v>10.050000000000001</v>
          </cell>
          <cell r="H158">
            <v>3.05</v>
          </cell>
          <cell r="I158">
            <v>0.42</v>
          </cell>
          <cell r="J158">
            <v>2.14</v>
          </cell>
          <cell r="K158" t="str">
            <v>12*1</v>
          </cell>
        </row>
        <row r="159">
          <cell r="A159" t="str">
            <v>Соус из малины</v>
          </cell>
          <cell r="B159" t="str">
            <v>100</v>
          </cell>
          <cell r="C159">
            <v>0.5</v>
          </cell>
          <cell r="D159">
            <v>0.3</v>
          </cell>
          <cell r="E159">
            <v>28.6</v>
          </cell>
          <cell r="F159">
            <v>116</v>
          </cell>
          <cell r="G159">
            <v>24.7</v>
          </cell>
          <cell r="H159">
            <v>12.33</v>
          </cell>
          <cell r="I159">
            <v>0.75</v>
          </cell>
          <cell r="J159">
            <v>5.9</v>
          </cell>
          <cell r="K159" t="str">
            <v>12*2</v>
          </cell>
        </row>
        <row r="160">
          <cell r="A160" t="str">
            <v>Соус из клубники</v>
          </cell>
          <cell r="B160" t="str">
            <v>100</v>
          </cell>
          <cell r="C160">
            <v>0.47</v>
          </cell>
          <cell r="D160">
            <v>0.21</v>
          </cell>
          <cell r="E160">
            <v>25.66</v>
          </cell>
          <cell r="F160">
            <v>106.3994</v>
          </cell>
          <cell r="G160">
            <v>24.89</v>
          </cell>
          <cell r="H160">
            <v>10.3</v>
          </cell>
          <cell r="I160">
            <v>0.75</v>
          </cell>
          <cell r="J160">
            <v>14.16</v>
          </cell>
          <cell r="K160" t="str">
            <v>12*3</v>
          </cell>
        </row>
        <row r="161">
          <cell r="A161" t="str">
            <v xml:space="preserve">Соус томатный </v>
          </cell>
          <cell r="B161" t="str">
            <v>100</v>
          </cell>
          <cell r="C161">
            <v>1</v>
          </cell>
          <cell r="D161">
            <v>1.8</v>
          </cell>
          <cell r="E161">
            <v>6.4</v>
          </cell>
          <cell r="F161">
            <v>46</v>
          </cell>
          <cell r="G161">
            <v>7.24</v>
          </cell>
          <cell r="H161">
            <v>8.39</v>
          </cell>
          <cell r="I161">
            <v>0.32</v>
          </cell>
          <cell r="J161">
            <v>1.34</v>
          </cell>
          <cell r="K161" t="str">
            <v>12*51</v>
          </cell>
        </row>
        <row r="162">
          <cell r="A162" t="str">
            <v xml:space="preserve">Соус сметанный </v>
          </cell>
          <cell r="B162" t="str">
            <v>100</v>
          </cell>
          <cell r="C162">
            <v>2.6</v>
          </cell>
          <cell r="D162">
            <v>5.3</v>
          </cell>
          <cell r="E162">
            <v>5.9</v>
          </cell>
          <cell r="F162">
            <v>83</v>
          </cell>
          <cell r="G162">
            <v>24.41</v>
          </cell>
          <cell r="H162">
            <v>5.12</v>
          </cell>
          <cell r="I162">
            <v>0.25</v>
          </cell>
          <cell r="J162">
            <v>0.11</v>
          </cell>
          <cell r="K162" t="str">
            <v>12*52</v>
          </cell>
        </row>
        <row r="163">
          <cell r="A163" t="str">
            <v xml:space="preserve">Соус молочный </v>
          </cell>
          <cell r="B163" t="str">
            <v>100</v>
          </cell>
          <cell r="C163">
            <v>3</v>
          </cell>
          <cell r="D163">
            <v>5.53</v>
          </cell>
          <cell r="E163">
            <v>7.51</v>
          </cell>
          <cell r="F163">
            <v>91.9</v>
          </cell>
          <cell r="G163">
            <v>84.41</v>
          </cell>
          <cell r="H163">
            <v>10.66</v>
          </cell>
          <cell r="I163">
            <v>0.19</v>
          </cell>
          <cell r="J163">
            <v>0.41</v>
          </cell>
          <cell r="K163" t="str">
            <v>12*53</v>
          </cell>
        </row>
        <row r="164">
          <cell r="A164" t="str">
            <v xml:space="preserve">Соус сметанно-томатный </v>
          </cell>
          <cell r="B164" t="str">
            <v>100</v>
          </cell>
          <cell r="C164">
            <v>3.15</v>
          </cell>
          <cell r="D164">
            <v>16.61</v>
          </cell>
          <cell r="E164">
            <v>5.9</v>
          </cell>
          <cell r="F164">
            <v>185.69</v>
          </cell>
          <cell r="G164">
            <v>88.49</v>
          </cell>
          <cell r="H164">
            <v>9.9499999999999993</v>
          </cell>
          <cell r="I164">
            <v>0.28000000000000003</v>
          </cell>
          <cell r="J164">
            <v>0.27</v>
          </cell>
          <cell r="K164" t="str">
            <v>12*54</v>
          </cell>
        </row>
        <row r="165">
          <cell r="A165" t="str">
            <v>Соус яблочный</v>
          </cell>
          <cell r="B165" t="str">
            <v>100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 t="str">
            <v>12*55</v>
          </cell>
        </row>
        <row r="166">
          <cell r="A166" t="str">
            <v>Соус абрикосовый</v>
          </cell>
          <cell r="B166" t="str">
            <v>100</v>
          </cell>
          <cell r="C166">
            <v>0.6</v>
          </cell>
          <cell r="D166">
            <v>0</v>
          </cell>
          <cell r="E166">
            <v>0</v>
          </cell>
          <cell r="F166">
            <v>254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 t="str">
            <v>12*56</v>
          </cell>
        </row>
        <row r="167">
          <cell r="A167" t="str">
            <v>Соус молочный (сладкий)</v>
          </cell>
          <cell r="B167" t="str">
            <v>100</v>
          </cell>
          <cell r="C167">
            <v>2.6</v>
          </cell>
          <cell r="D167">
            <v>5.8</v>
          </cell>
          <cell r="E167">
            <v>16.2</v>
          </cell>
          <cell r="F167">
            <v>124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 t="str">
            <v>12*57</v>
          </cell>
        </row>
        <row r="168">
          <cell r="A168" t="str">
            <v>Соус шоколадный</v>
          </cell>
          <cell r="B168" t="str">
            <v>100</v>
          </cell>
          <cell r="C168">
            <v>5.4</v>
          </cell>
          <cell r="D168">
            <v>4.7</v>
          </cell>
          <cell r="E168">
            <v>42.1</v>
          </cell>
          <cell r="F168">
            <v>226</v>
          </cell>
          <cell r="G168">
            <v>134.71</v>
          </cell>
          <cell r="H168">
            <v>50.43</v>
          </cell>
          <cell r="I168">
            <v>2.0499999999999998</v>
          </cell>
          <cell r="J168">
            <v>0.18</v>
          </cell>
          <cell r="K168" t="str">
            <v>12*58</v>
          </cell>
        </row>
        <row r="169">
          <cell r="A169" t="str">
            <v>Молоко сгущенное</v>
          </cell>
          <cell r="B169" t="str">
            <v>100</v>
          </cell>
          <cell r="C169">
            <v>7.2</v>
          </cell>
          <cell r="D169">
            <v>8.5</v>
          </cell>
          <cell r="E169">
            <v>55.5</v>
          </cell>
          <cell r="F169">
            <v>327.3</v>
          </cell>
          <cell r="G169">
            <v>307</v>
          </cell>
          <cell r="H169">
            <v>34</v>
          </cell>
          <cell r="I169">
            <v>0.2</v>
          </cell>
          <cell r="J169">
            <v>0</v>
          </cell>
          <cell r="K169" t="str">
            <v>12*59</v>
          </cell>
        </row>
        <row r="170">
          <cell r="A170" t="str">
            <v>Соус из брусники</v>
          </cell>
          <cell r="B170" t="str">
            <v>100</v>
          </cell>
          <cell r="C170">
            <v>0.4</v>
          </cell>
          <cell r="D170">
            <v>0.3</v>
          </cell>
          <cell r="E170">
            <v>26.1</v>
          </cell>
          <cell r="F170">
            <v>109</v>
          </cell>
          <cell r="G170">
            <v>14.7</v>
          </cell>
          <cell r="H170">
            <v>0</v>
          </cell>
          <cell r="I170">
            <v>0.3</v>
          </cell>
          <cell r="J170">
            <v>3.2</v>
          </cell>
          <cell r="K170" t="str">
            <v>12*5</v>
          </cell>
        </row>
        <row r="171">
          <cell r="A171" t="str">
            <v>Блины с фруктовой начинкой</v>
          </cell>
          <cell r="B171" t="str">
            <v>110</v>
          </cell>
          <cell r="C171">
            <v>6.6</v>
          </cell>
          <cell r="D171">
            <v>8.25</v>
          </cell>
          <cell r="E171">
            <v>46.2</v>
          </cell>
          <cell r="F171">
            <v>280.5</v>
          </cell>
          <cell r="G171">
            <v>12.44</v>
          </cell>
          <cell r="H171">
            <v>0.18</v>
          </cell>
          <cell r="I171">
            <v>0.04</v>
          </cell>
          <cell r="J171">
            <v>11</v>
          </cell>
          <cell r="K171" t="str">
            <v>13*1</v>
          </cell>
        </row>
        <row r="172">
          <cell r="A172" t="str">
            <v>Слойка с яблоком</v>
          </cell>
          <cell r="B172" t="str">
            <v>75</v>
          </cell>
          <cell r="C172">
            <v>3.49</v>
          </cell>
          <cell r="D172">
            <v>7.06</v>
          </cell>
          <cell r="E172">
            <v>27.96</v>
          </cell>
          <cell r="F172">
            <v>189.36846800000001</v>
          </cell>
          <cell r="G172">
            <v>5.17</v>
          </cell>
          <cell r="H172">
            <v>2.2999999999999998</v>
          </cell>
          <cell r="I172">
            <v>0.53</v>
          </cell>
          <cell r="J172">
            <v>0.42</v>
          </cell>
          <cell r="K172" t="str">
            <v>13*3</v>
          </cell>
        </row>
        <row r="173">
          <cell r="A173" t="str">
            <v>Слойка с повидлом</v>
          </cell>
          <cell r="B173" t="str">
            <v>75</v>
          </cell>
          <cell r="C173">
            <v>3.48</v>
          </cell>
          <cell r="D173">
            <v>6.97</v>
          </cell>
          <cell r="E173">
            <v>37.64</v>
          </cell>
          <cell r="F173">
            <v>227.15173999999999</v>
          </cell>
          <cell r="G173">
            <v>3.97</v>
          </cell>
          <cell r="H173">
            <v>1</v>
          </cell>
          <cell r="I173">
            <v>0.14000000000000001</v>
          </cell>
          <cell r="J173">
            <v>0.1</v>
          </cell>
          <cell r="K173" t="str">
            <v>13*4</v>
          </cell>
        </row>
        <row r="174">
          <cell r="A174" t="str">
            <v xml:space="preserve">Начинка творожная </v>
          </cell>
          <cell r="B174" t="str">
            <v>100</v>
          </cell>
          <cell r="C174">
            <v>17.399999999999999</v>
          </cell>
          <cell r="D174">
            <v>8.8000000000000007</v>
          </cell>
          <cell r="E174">
            <v>10.5</v>
          </cell>
          <cell r="F174">
            <v>192</v>
          </cell>
          <cell r="G174">
            <v>153.13</v>
          </cell>
          <cell r="H174">
            <v>22.17</v>
          </cell>
          <cell r="I174">
            <v>0.53</v>
          </cell>
          <cell r="J174">
            <v>0.46</v>
          </cell>
          <cell r="K174" t="str">
            <v>13*6</v>
          </cell>
        </row>
        <row r="175">
          <cell r="A175" t="str">
            <v xml:space="preserve">Ватрушка с творогом </v>
          </cell>
          <cell r="B175" t="str">
            <v>100</v>
          </cell>
          <cell r="C175">
            <v>12.1</v>
          </cell>
          <cell r="D175">
            <v>9</v>
          </cell>
          <cell r="E175">
            <v>43.3</v>
          </cell>
          <cell r="F175">
            <v>305</v>
          </cell>
          <cell r="G175">
            <v>66.319999999999993</v>
          </cell>
          <cell r="H175">
            <v>18.059999999999999</v>
          </cell>
          <cell r="I175">
            <v>1.1399999999999999</v>
          </cell>
          <cell r="J175">
            <v>0.14000000000000001</v>
          </cell>
          <cell r="K175" t="str">
            <v>13*7</v>
          </cell>
        </row>
        <row r="176">
          <cell r="A176" t="str">
            <v xml:space="preserve">Пицца с сосисками </v>
          </cell>
          <cell r="B176">
            <v>100</v>
          </cell>
          <cell r="C176">
            <v>8.5</v>
          </cell>
          <cell r="D176">
            <v>11.3</v>
          </cell>
          <cell r="E176">
            <v>27.8</v>
          </cell>
          <cell r="F176">
            <v>253</v>
          </cell>
          <cell r="G176">
            <v>97.8</v>
          </cell>
          <cell r="H176">
            <v>18.399999999999999</v>
          </cell>
          <cell r="I176">
            <v>1.2</v>
          </cell>
          <cell r="J176">
            <v>2.6</v>
          </cell>
          <cell r="K176" t="str">
            <v>13*8</v>
          </cell>
        </row>
        <row r="177">
          <cell r="A177" t="str">
            <v xml:space="preserve">Лепешка Уральская </v>
          </cell>
          <cell r="B177">
            <v>100</v>
          </cell>
          <cell r="C177">
            <v>9.6199999999999992</v>
          </cell>
          <cell r="D177">
            <v>9.27</v>
          </cell>
          <cell r="E177">
            <v>40.11</v>
          </cell>
          <cell r="F177">
            <v>282.35000000000002</v>
          </cell>
          <cell r="G177">
            <v>303.08999999999997</v>
          </cell>
          <cell r="H177">
            <v>137.87</v>
          </cell>
          <cell r="I177">
            <v>0.3</v>
          </cell>
          <cell r="J177">
            <v>0.56000000000000005</v>
          </cell>
          <cell r="K177" t="str">
            <v>13*10</v>
          </cell>
        </row>
        <row r="178">
          <cell r="A178" t="str">
            <v xml:space="preserve">Язычок слоеный с сахаром </v>
          </cell>
          <cell r="B178">
            <v>100</v>
          </cell>
          <cell r="C178">
            <v>6.31</v>
          </cell>
          <cell r="D178">
            <v>26.8</v>
          </cell>
          <cell r="E178">
            <v>51.65</v>
          </cell>
          <cell r="F178">
            <v>473.04</v>
          </cell>
          <cell r="G178">
            <v>0.51</v>
          </cell>
          <cell r="H178">
            <v>0</v>
          </cell>
          <cell r="I178">
            <v>0.05</v>
          </cell>
          <cell r="J178">
            <v>0</v>
          </cell>
          <cell r="K178" t="str">
            <v>13*11</v>
          </cell>
        </row>
        <row r="179">
          <cell r="A179" t="str">
            <v xml:space="preserve">Сдоба Выборгская </v>
          </cell>
          <cell r="B179">
            <v>100</v>
          </cell>
          <cell r="C179">
            <v>6.9</v>
          </cell>
          <cell r="D179">
            <v>8.1</v>
          </cell>
          <cell r="E179">
            <v>56.7</v>
          </cell>
          <cell r="F179">
            <v>331</v>
          </cell>
          <cell r="G179">
            <v>21.6</v>
          </cell>
          <cell r="H179">
            <v>12.3</v>
          </cell>
          <cell r="I179">
            <v>1.2</v>
          </cell>
          <cell r="J179">
            <v>0.1</v>
          </cell>
          <cell r="K179" t="str">
            <v>13*12</v>
          </cell>
        </row>
        <row r="180">
          <cell r="A180" t="str">
            <v xml:space="preserve">Рулетик с маком </v>
          </cell>
          <cell r="B180">
            <v>100</v>
          </cell>
          <cell r="C180">
            <v>8.6</v>
          </cell>
          <cell r="D180">
            <v>11.9</v>
          </cell>
          <cell r="E180">
            <v>54.3</v>
          </cell>
          <cell r="F180">
            <v>364</v>
          </cell>
          <cell r="G180">
            <v>104.6</v>
          </cell>
          <cell r="H180">
            <v>34.5</v>
          </cell>
          <cell r="I180">
            <v>1.6</v>
          </cell>
          <cell r="J180">
            <v>0</v>
          </cell>
          <cell r="K180" t="str">
            <v>13*16</v>
          </cell>
        </row>
        <row r="181">
          <cell r="A181" t="str">
            <v>Булочка с корицей</v>
          </cell>
          <cell r="B181" t="str">
            <v>100</v>
          </cell>
          <cell r="C181">
            <v>5.28</v>
          </cell>
          <cell r="D181">
            <v>11.09</v>
          </cell>
          <cell r="E181">
            <v>47.35</v>
          </cell>
          <cell r="F181">
            <v>310.29000000000002</v>
          </cell>
          <cell r="G181">
            <v>48.19</v>
          </cell>
          <cell r="H181">
            <v>11.75</v>
          </cell>
          <cell r="I181">
            <v>4.54</v>
          </cell>
          <cell r="J181">
            <v>0</v>
          </cell>
          <cell r="K181" t="str">
            <v>13*18</v>
          </cell>
        </row>
        <row r="182">
          <cell r="A182" t="str">
            <v xml:space="preserve">Слойка с творогом </v>
          </cell>
          <cell r="B182" t="str">
            <v>100</v>
          </cell>
          <cell r="C182">
            <v>9.93</v>
          </cell>
          <cell r="D182">
            <v>17.84</v>
          </cell>
          <cell r="E182">
            <v>25.15</v>
          </cell>
          <cell r="F182">
            <v>300.86928</v>
          </cell>
          <cell r="G182">
            <v>51.56</v>
          </cell>
          <cell r="H182">
            <v>7.73</v>
          </cell>
          <cell r="I182">
            <v>0.17</v>
          </cell>
          <cell r="J182">
            <v>0.04</v>
          </cell>
          <cell r="K182" t="str">
            <v>13*19</v>
          </cell>
        </row>
        <row r="183">
          <cell r="A183" t="str">
            <v>Булочка Дорожная</v>
          </cell>
          <cell r="B183" t="str">
            <v>100</v>
          </cell>
          <cell r="C183">
            <v>8.5</v>
          </cell>
          <cell r="D183">
            <v>8.6999999999999993</v>
          </cell>
          <cell r="E183">
            <v>52.3</v>
          </cell>
          <cell r="F183">
            <v>324</v>
          </cell>
          <cell r="G183">
            <v>23.61</v>
          </cell>
          <cell r="H183">
            <v>13.44</v>
          </cell>
          <cell r="I183">
            <v>1.21</v>
          </cell>
          <cell r="J183">
            <v>0.03</v>
          </cell>
          <cell r="K183" t="str">
            <v>13*21</v>
          </cell>
        </row>
        <row r="184">
          <cell r="A184" t="str">
            <v xml:space="preserve">Булочка Веснушка </v>
          </cell>
          <cell r="B184" t="str">
            <v>100</v>
          </cell>
          <cell r="C184">
            <v>7.84</v>
          </cell>
          <cell r="D184">
            <v>5.16</v>
          </cell>
          <cell r="E184">
            <v>56.33</v>
          </cell>
          <cell r="F184">
            <v>303.08605599999999</v>
          </cell>
          <cell r="G184">
            <v>15.76</v>
          </cell>
          <cell r="H184">
            <v>12.27</v>
          </cell>
          <cell r="I184">
            <v>0.9</v>
          </cell>
          <cell r="J184">
            <v>0.02</v>
          </cell>
          <cell r="K184" t="str">
            <v>13*22</v>
          </cell>
        </row>
        <row r="185">
          <cell r="A185" t="str">
            <v xml:space="preserve">Ватрушка Лакомка </v>
          </cell>
          <cell r="B185" t="str">
            <v>75</v>
          </cell>
          <cell r="C185">
            <v>7.71</v>
          </cell>
          <cell r="D185">
            <v>11.81</v>
          </cell>
          <cell r="E185">
            <v>27.64</v>
          </cell>
          <cell r="F185">
            <v>247.655125</v>
          </cell>
          <cell r="G185">
            <v>47.61</v>
          </cell>
          <cell r="H185">
            <v>9.3800000000000008</v>
          </cell>
          <cell r="I185">
            <v>0.46</v>
          </cell>
          <cell r="J185">
            <v>0.03</v>
          </cell>
          <cell r="K185" t="str">
            <v>13*24</v>
          </cell>
        </row>
        <row r="186">
          <cell r="A186" t="str">
            <v>Пирожок слоеный с яблоком</v>
          </cell>
          <cell r="B186" t="str">
            <v>75</v>
          </cell>
          <cell r="C186">
            <v>2.99</v>
          </cell>
          <cell r="D186">
            <v>11.31</v>
          </cell>
          <cell r="E186">
            <v>27.63</v>
          </cell>
          <cell r="F186">
            <v>224.27</v>
          </cell>
          <cell r="G186">
            <v>9.11</v>
          </cell>
          <cell r="H186">
            <v>5.1100000000000003</v>
          </cell>
          <cell r="I186">
            <v>9.16</v>
          </cell>
          <cell r="J186">
            <v>0.2</v>
          </cell>
          <cell r="K186" t="str">
            <v>13*25</v>
          </cell>
        </row>
        <row r="187">
          <cell r="A187" t="str">
            <v>Ватрушка со сметаной</v>
          </cell>
          <cell r="B187" t="str">
            <v>100</v>
          </cell>
          <cell r="C187">
            <v>7.8</v>
          </cell>
          <cell r="D187">
            <v>9.4</v>
          </cell>
          <cell r="E187">
            <v>48.6</v>
          </cell>
          <cell r="F187">
            <v>312</v>
          </cell>
          <cell r="G187">
            <v>36.799999999999997</v>
          </cell>
          <cell r="H187">
            <v>13.52</v>
          </cell>
          <cell r="I187">
            <v>1.08</v>
          </cell>
          <cell r="J187">
            <v>0.08</v>
          </cell>
          <cell r="K187" t="str">
            <v>13*26</v>
          </cell>
        </row>
        <row r="188">
          <cell r="A188" t="str">
            <v>Булочка витушка с творогом</v>
          </cell>
          <cell r="B188" t="str">
            <v>100</v>
          </cell>
          <cell r="C188">
            <v>11.89</v>
          </cell>
          <cell r="D188">
            <v>7.61</v>
          </cell>
          <cell r="E188">
            <v>35.159999999999997</v>
          </cell>
          <cell r="F188">
            <v>256.70191999999997</v>
          </cell>
          <cell r="G188">
            <v>203.32</v>
          </cell>
          <cell r="H188">
            <v>95.72</v>
          </cell>
          <cell r="I188">
            <v>0.16</v>
          </cell>
          <cell r="J188">
            <v>0.06</v>
          </cell>
          <cell r="K188" t="str">
            <v>13*27</v>
          </cell>
        </row>
        <row r="189">
          <cell r="A189" t="str">
            <v>Булочка с сыром</v>
          </cell>
          <cell r="B189" t="str">
            <v>100</v>
          </cell>
          <cell r="C189">
            <v>9.9903200000000005</v>
          </cell>
          <cell r="D189">
            <v>10.84287</v>
          </cell>
          <cell r="E189">
            <v>48.567799999999998</v>
          </cell>
          <cell r="F189">
            <v>331.81831</v>
          </cell>
          <cell r="G189">
            <v>324.80200000000002</v>
          </cell>
          <cell r="H189">
            <v>148.25360000000001</v>
          </cell>
          <cell r="I189">
            <v>0.1394</v>
          </cell>
          <cell r="J189">
            <v>0.04</v>
          </cell>
          <cell r="K189" t="str">
            <v>13*28</v>
          </cell>
        </row>
        <row r="190">
          <cell r="A190" t="str">
            <v>Манник</v>
          </cell>
          <cell r="B190" t="str">
            <v>100</v>
          </cell>
          <cell r="C190">
            <v>6.4</v>
          </cell>
          <cell r="D190">
            <v>8</v>
          </cell>
          <cell r="E190">
            <v>54.8</v>
          </cell>
          <cell r="F190">
            <v>315</v>
          </cell>
          <cell r="G190">
            <v>46.85</v>
          </cell>
          <cell r="H190">
            <v>12.71</v>
          </cell>
          <cell r="I190">
            <v>0.84</v>
          </cell>
          <cell r="J190">
            <v>0.26</v>
          </cell>
          <cell r="K190" t="str">
            <v>13*30</v>
          </cell>
        </row>
        <row r="191">
          <cell r="A191" t="str">
            <v>Пудинг манный</v>
          </cell>
          <cell r="B191" t="str">
            <v>100</v>
          </cell>
          <cell r="C191">
            <v>6.4</v>
          </cell>
          <cell r="D191">
            <v>8</v>
          </cell>
          <cell r="E191">
            <v>54.8</v>
          </cell>
          <cell r="F191">
            <v>315</v>
          </cell>
          <cell r="G191">
            <v>46.85</v>
          </cell>
          <cell r="H191">
            <v>12.71</v>
          </cell>
          <cell r="I191">
            <v>0.84</v>
          </cell>
          <cell r="J191">
            <v>0.26</v>
          </cell>
          <cell r="K191" t="str">
            <v>13*30</v>
          </cell>
        </row>
        <row r="192">
          <cell r="A192" t="str">
            <v xml:space="preserve">Тесто дрожжевое </v>
          </cell>
          <cell r="B192" t="str">
            <v>100</v>
          </cell>
          <cell r="C192">
            <v>7.59</v>
          </cell>
          <cell r="D192">
            <v>6.89</v>
          </cell>
          <cell r="E192">
            <v>51.11</v>
          </cell>
          <cell r="F192">
            <v>296.75</v>
          </cell>
          <cell r="G192">
            <v>275.42</v>
          </cell>
          <cell r="H192">
            <v>164.03</v>
          </cell>
          <cell r="I192">
            <v>138.37</v>
          </cell>
          <cell r="J192">
            <v>0.13</v>
          </cell>
          <cell r="K192" t="str">
            <v>13*50</v>
          </cell>
        </row>
        <row r="193">
          <cell r="A193" t="str">
            <v xml:space="preserve">Пирожок с луком и яйцом </v>
          </cell>
          <cell r="B193">
            <v>75</v>
          </cell>
          <cell r="C193">
            <v>8.6624999999999996</v>
          </cell>
          <cell r="D193">
            <v>11.355</v>
          </cell>
          <cell r="E193">
            <v>23.8125</v>
          </cell>
          <cell r="F193">
            <v>172.83</v>
          </cell>
          <cell r="G193">
            <v>156.92250000000001</v>
          </cell>
          <cell r="H193">
            <v>80.662499999999994</v>
          </cell>
          <cell r="I193">
            <v>63.69</v>
          </cell>
          <cell r="J193">
            <v>2.7149999999999999</v>
          </cell>
          <cell r="K193" t="str">
            <v>13*51</v>
          </cell>
        </row>
        <row r="194">
          <cell r="A194" t="str">
            <v xml:space="preserve">Булочка домашняя </v>
          </cell>
          <cell r="B194">
            <v>100</v>
          </cell>
          <cell r="C194">
            <v>8.6</v>
          </cell>
          <cell r="D194">
            <v>9</v>
          </cell>
          <cell r="E194">
            <v>53.3</v>
          </cell>
          <cell r="F194">
            <v>331</v>
          </cell>
          <cell r="G194">
            <v>23.86</v>
          </cell>
          <cell r="H194">
            <v>13.8</v>
          </cell>
          <cell r="I194">
            <v>1.22</v>
          </cell>
          <cell r="J194">
            <v>0</v>
          </cell>
          <cell r="K194" t="str">
            <v>13*52</v>
          </cell>
        </row>
        <row r="195">
          <cell r="A195" t="str">
            <v>Булочное изделие в асс.</v>
          </cell>
          <cell r="B195">
            <v>100</v>
          </cell>
          <cell r="C195">
            <v>8.6</v>
          </cell>
          <cell r="D195">
            <v>9</v>
          </cell>
          <cell r="E195">
            <v>53.3</v>
          </cell>
          <cell r="F195">
            <v>331</v>
          </cell>
          <cell r="G195">
            <v>23.86</v>
          </cell>
          <cell r="H195">
            <v>13.8</v>
          </cell>
          <cell r="I195">
            <v>1.22</v>
          </cell>
          <cell r="J195">
            <v>0</v>
          </cell>
          <cell r="K195" t="str">
            <v>-</v>
          </cell>
        </row>
        <row r="196">
          <cell r="A196" t="str">
            <v xml:space="preserve">Тесто дрожжевое сдобное </v>
          </cell>
          <cell r="B196" t="str">
            <v>100</v>
          </cell>
          <cell r="C196">
            <v>8.1999999999999993</v>
          </cell>
          <cell r="D196">
            <v>6.2</v>
          </cell>
          <cell r="E196">
            <v>49</v>
          </cell>
          <cell r="F196">
            <v>288</v>
          </cell>
          <cell r="G196">
            <v>20.98</v>
          </cell>
          <cell r="H196">
            <v>12.4</v>
          </cell>
          <cell r="I196">
            <v>1.08</v>
          </cell>
          <cell r="J196">
            <v>0</v>
          </cell>
          <cell r="K196" t="str">
            <v>13*53</v>
          </cell>
        </row>
        <row r="197">
          <cell r="A197" t="str">
            <v xml:space="preserve">Начинка яблочная </v>
          </cell>
          <cell r="B197" t="str">
            <v>100</v>
          </cell>
          <cell r="C197">
            <v>0.3</v>
          </cell>
          <cell r="D197">
            <v>0.3</v>
          </cell>
          <cell r="E197">
            <v>28.1</v>
          </cell>
          <cell r="F197">
            <v>113</v>
          </cell>
          <cell r="G197">
            <v>13.88</v>
          </cell>
          <cell r="H197">
            <v>7.47</v>
          </cell>
          <cell r="I197">
            <v>1.89</v>
          </cell>
          <cell r="J197">
            <v>8.3000000000000007</v>
          </cell>
          <cell r="K197" t="str">
            <v>13*54</v>
          </cell>
        </row>
        <row r="198">
          <cell r="A198" t="str">
            <v>Пирожок сдобный с яблоком</v>
          </cell>
          <cell r="B198" t="str">
            <v>100</v>
          </cell>
          <cell r="C198">
            <v>4.9000000000000004</v>
          </cell>
          <cell r="D198">
            <v>4.3</v>
          </cell>
          <cell r="E198">
            <v>40.9</v>
          </cell>
          <cell r="F198">
            <v>222</v>
          </cell>
          <cell r="G198">
            <v>20.13</v>
          </cell>
          <cell r="H198">
            <v>11.56</v>
          </cell>
          <cell r="I198">
            <v>1.66</v>
          </cell>
          <cell r="J198">
            <v>4.4000000000000004</v>
          </cell>
          <cell r="K198" t="str">
            <v>13*55</v>
          </cell>
        </row>
        <row r="199">
          <cell r="A199" t="str">
            <v>Ватрушка с повидлом</v>
          </cell>
          <cell r="B199" t="str">
            <v>100</v>
          </cell>
          <cell r="C199">
            <v>9.7200000000000006</v>
          </cell>
          <cell r="D199">
            <v>4.9000000000000004</v>
          </cell>
          <cell r="E199">
            <v>35.770000000000003</v>
          </cell>
          <cell r="F199">
            <v>226.06</v>
          </cell>
          <cell r="G199">
            <v>21.5</v>
          </cell>
          <cell r="H199">
            <v>69.069999999999993</v>
          </cell>
          <cell r="I199">
            <v>6.62</v>
          </cell>
          <cell r="J199">
            <v>0.14000000000000001</v>
          </cell>
          <cell r="K199" t="str">
            <v>13*56</v>
          </cell>
        </row>
        <row r="200">
          <cell r="A200" t="str">
            <v xml:space="preserve">Расстегай с минтаем </v>
          </cell>
          <cell r="B200">
            <v>75</v>
          </cell>
          <cell r="C200">
            <v>8.3249999999999993</v>
          </cell>
          <cell r="D200">
            <v>3.5249999999999999</v>
          </cell>
          <cell r="E200">
            <v>23.25</v>
          </cell>
          <cell r="F200">
            <v>162</v>
          </cell>
          <cell r="G200">
            <v>26.1</v>
          </cell>
          <cell r="H200">
            <v>23.85</v>
          </cell>
          <cell r="I200">
            <v>0.82499999999999996</v>
          </cell>
          <cell r="J200">
            <v>1.125</v>
          </cell>
          <cell r="K200" t="str">
            <v>13*57</v>
          </cell>
        </row>
        <row r="201">
          <cell r="A201" t="str">
            <v xml:space="preserve">Начинка картофельная </v>
          </cell>
          <cell r="B201" t="str">
            <v>100</v>
          </cell>
          <cell r="C201">
            <v>2.1</v>
          </cell>
          <cell r="D201">
            <v>3.2</v>
          </cell>
          <cell r="E201">
            <v>14.06</v>
          </cell>
          <cell r="F201">
            <v>109</v>
          </cell>
          <cell r="G201">
            <v>141.16999999999999</v>
          </cell>
          <cell r="H201">
            <v>38.99</v>
          </cell>
          <cell r="I201">
            <v>0.9</v>
          </cell>
          <cell r="J201">
            <v>17.02</v>
          </cell>
          <cell r="K201" t="str">
            <v>13*58</v>
          </cell>
        </row>
        <row r="202">
          <cell r="A202" t="str">
            <v xml:space="preserve">Пирожок сдобный с картофелем </v>
          </cell>
          <cell r="B202" t="str">
            <v>100</v>
          </cell>
          <cell r="C202">
            <v>6.8666666666666698</v>
          </cell>
          <cell r="D202">
            <v>7.5066666666666704</v>
          </cell>
          <cell r="E202">
            <v>47.746666666666698</v>
          </cell>
          <cell r="F202">
            <v>286.04000000000002</v>
          </cell>
          <cell r="G202">
            <v>25.770666666666699</v>
          </cell>
          <cell r="H202">
            <v>20.933333333333302</v>
          </cell>
          <cell r="I202">
            <v>9.2799999999999994</v>
          </cell>
          <cell r="J202">
            <v>8.06666666666667</v>
          </cell>
          <cell r="K202" t="str">
            <v>13*59</v>
          </cell>
        </row>
        <row r="203">
          <cell r="A203" t="str">
            <v xml:space="preserve">Пирожок сдобный с капустой </v>
          </cell>
          <cell r="B203" t="str">
            <v>100</v>
          </cell>
          <cell r="C203">
            <v>6.2</v>
          </cell>
          <cell r="D203">
            <v>8</v>
          </cell>
          <cell r="E203">
            <v>32.200000000000003</v>
          </cell>
          <cell r="F203">
            <v>228</v>
          </cell>
          <cell r="G203">
            <v>42.39</v>
          </cell>
          <cell r="H203">
            <v>17.170000000000002</v>
          </cell>
          <cell r="I203">
            <v>1.07</v>
          </cell>
          <cell r="J203">
            <v>8.86</v>
          </cell>
          <cell r="K203" t="str">
            <v>13*60</v>
          </cell>
        </row>
        <row r="204">
          <cell r="A204" t="str">
            <v>Начинка капустная</v>
          </cell>
          <cell r="B204" t="str">
            <v>100</v>
          </cell>
          <cell r="C204">
            <v>2.2999999999999998</v>
          </cell>
          <cell r="D204">
            <v>6.6</v>
          </cell>
          <cell r="E204">
            <v>5.7</v>
          </cell>
          <cell r="F204">
            <v>92</v>
          </cell>
          <cell r="G204">
            <v>62.96</v>
          </cell>
          <cell r="H204">
            <v>19.71</v>
          </cell>
          <cell r="I204">
            <v>0.77</v>
          </cell>
          <cell r="J204">
            <v>19.690000000000001</v>
          </cell>
          <cell r="K204" t="str">
            <v>13*61</v>
          </cell>
        </row>
        <row r="205">
          <cell r="A205" t="str">
            <v>Сосиска в тесте</v>
          </cell>
          <cell r="B205" t="str">
            <v>100</v>
          </cell>
          <cell r="C205">
            <v>9.5</v>
          </cell>
          <cell r="D205">
            <v>14.4</v>
          </cell>
          <cell r="E205">
            <v>24.2</v>
          </cell>
          <cell r="F205">
            <v>268</v>
          </cell>
          <cell r="G205">
            <v>28.4</v>
          </cell>
          <cell r="H205">
            <v>16.8</v>
          </cell>
          <cell r="I205">
            <v>1.5</v>
          </cell>
          <cell r="J205">
            <v>0</v>
          </cell>
          <cell r="K205" t="str">
            <v>13*63</v>
          </cell>
        </row>
        <row r="206">
          <cell r="A206" t="str">
            <v>Сосиска в тесте</v>
          </cell>
          <cell r="B206" t="str">
            <v>100</v>
          </cell>
          <cell r="C206">
            <v>9.5</v>
          </cell>
          <cell r="D206">
            <v>14.4</v>
          </cell>
          <cell r="E206">
            <v>24.2</v>
          </cell>
          <cell r="F206">
            <v>268</v>
          </cell>
          <cell r="G206">
            <v>28.4</v>
          </cell>
          <cell r="H206">
            <v>16.8</v>
          </cell>
          <cell r="I206">
            <v>1.5</v>
          </cell>
          <cell r="J206">
            <v>0</v>
          </cell>
          <cell r="K206" t="str">
            <v>13*63</v>
          </cell>
        </row>
        <row r="207">
          <cell r="A207" t="str">
            <v xml:space="preserve">Груша </v>
          </cell>
          <cell r="B207" t="str">
            <v>100</v>
          </cell>
          <cell r="C207">
            <v>0.4</v>
          </cell>
          <cell r="D207">
            <v>0.3</v>
          </cell>
          <cell r="E207">
            <v>10.3</v>
          </cell>
          <cell r="F207">
            <v>45.5</v>
          </cell>
          <cell r="G207">
            <v>19</v>
          </cell>
          <cell r="H207">
            <v>12</v>
          </cell>
          <cell r="I207">
            <v>2.2999999999999998</v>
          </cell>
          <cell r="J207">
            <v>5</v>
          </cell>
          <cell r="K207" t="str">
            <v>16*1</v>
          </cell>
        </row>
        <row r="208">
          <cell r="A208" t="str">
            <v xml:space="preserve">Яблоко </v>
          </cell>
          <cell r="B208" t="str">
            <v>100</v>
          </cell>
          <cell r="C208">
            <v>0.4</v>
          </cell>
          <cell r="D208">
            <v>0.2</v>
          </cell>
          <cell r="E208">
            <v>9.8000000000000007</v>
          </cell>
          <cell r="F208">
            <v>42.6</v>
          </cell>
          <cell r="G208">
            <v>16</v>
          </cell>
          <cell r="H208">
            <v>9</v>
          </cell>
          <cell r="I208">
            <v>2.2000000000000002</v>
          </cell>
          <cell r="J208">
            <v>10</v>
          </cell>
          <cell r="K208" t="str">
            <v>16*2</v>
          </cell>
        </row>
        <row r="209">
          <cell r="A209" t="str">
            <v>Мандарин</v>
          </cell>
          <cell r="B209" t="str">
            <v>100</v>
          </cell>
          <cell r="C209">
            <v>0.8</v>
          </cell>
          <cell r="D209">
            <v>0.3</v>
          </cell>
          <cell r="E209">
            <v>11.5</v>
          </cell>
          <cell r="F209">
            <v>53</v>
          </cell>
          <cell r="G209">
            <v>37</v>
          </cell>
          <cell r="H209">
            <v>12</v>
          </cell>
          <cell r="I209">
            <v>0.15</v>
          </cell>
          <cell r="J209">
            <v>26.7</v>
          </cell>
          <cell r="K209" t="str">
            <v>16*3</v>
          </cell>
        </row>
        <row r="210">
          <cell r="A210" t="str">
            <v>Апельсин</v>
          </cell>
          <cell r="B210" t="str">
            <v>100</v>
          </cell>
          <cell r="C210">
            <v>0.9</v>
          </cell>
          <cell r="D210">
            <v>0.2</v>
          </cell>
          <cell r="E210">
            <v>8.1</v>
          </cell>
          <cell r="F210">
            <v>43</v>
          </cell>
          <cell r="G210">
            <v>34</v>
          </cell>
          <cell r="H210">
            <v>13</v>
          </cell>
          <cell r="I210">
            <v>0.3</v>
          </cell>
          <cell r="J210">
            <v>60</v>
          </cell>
          <cell r="K210" t="str">
            <v>16*4</v>
          </cell>
        </row>
        <row r="211">
          <cell r="A211" t="str">
            <v>Банан</v>
          </cell>
          <cell r="B211" t="str">
            <v>100</v>
          </cell>
          <cell r="C211">
            <v>1.5</v>
          </cell>
          <cell r="D211">
            <v>0.5</v>
          </cell>
          <cell r="E211">
            <v>21</v>
          </cell>
          <cell r="F211">
            <v>94.5</v>
          </cell>
          <cell r="G211">
            <v>8</v>
          </cell>
          <cell r="H211">
            <v>42</v>
          </cell>
          <cell r="I211">
            <v>0.6</v>
          </cell>
          <cell r="J211">
            <v>10</v>
          </cell>
          <cell r="K211" t="str">
            <v>16*5</v>
          </cell>
        </row>
        <row r="212">
          <cell r="A212" t="str">
            <v>Нектарин</v>
          </cell>
          <cell r="B212" t="str">
            <v>100</v>
          </cell>
          <cell r="C212">
            <v>0.9</v>
          </cell>
          <cell r="D212">
            <v>0.1</v>
          </cell>
          <cell r="E212">
            <v>9.5</v>
          </cell>
          <cell r="F212">
            <v>45</v>
          </cell>
          <cell r="G212">
            <v>20</v>
          </cell>
          <cell r="H212">
            <v>16</v>
          </cell>
          <cell r="I212">
            <v>0.6</v>
          </cell>
          <cell r="J212">
            <v>10</v>
          </cell>
          <cell r="K212" t="str">
            <v>16*6</v>
          </cell>
        </row>
        <row r="213">
          <cell r="A213">
            <v>0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A214" t="str">
            <v>Батон пшеничный</v>
          </cell>
          <cell r="B214" t="str">
            <v>100</v>
          </cell>
          <cell r="C214">
            <v>7.7</v>
          </cell>
          <cell r="D214">
            <v>3</v>
          </cell>
          <cell r="E214">
            <v>50.1</v>
          </cell>
          <cell r="F214">
            <v>270</v>
          </cell>
          <cell r="G214">
            <v>22</v>
          </cell>
          <cell r="H214">
            <v>33</v>
          </cell>
          <cell r="I214">
            <v>2</v>
          </cell>
          <cell r="J214">
            <v>0</v>
          </cell>
          <cell r="K214" t="str">
            <v>-</v>
          </cell>
        </row>
        <row r="215">
          <cell r="A215" t="str">
            <v>Хлеб вит. ржаной</v>
          </cell>
          <cell r="B215" t="str">
            <v>100</v>
          </cell>
          <cell r="C215">
            <v>6.6</v>
          </cell>
          <cell r="D215">
            <v>1.2</v>
          </cell>
          <cell r="E215">
            <v>33.4</v>
          </cell>
          <cell r="F215">
            <v>193</v>
          </cell>
          <cell r="G215">
            <v>35</v>
          </cell>
          <cell r="H215">
            <v>47</v>
          </cell>
          <cell r="I215">
            <v>3.9</v>
          </cell>
          <cell r="J215">
            <v>0</v>
          </cell>
          <cell r="K215" t="str">
            <v>-</v>
          </cell>
        </row>
        <row r="216">
          <cell r="A216" t="str">
            <v>Хлеб вит. пшеничный</v>
          </cell>
          <cell r="B216" t="str">
            <v>100</v>
          </cell>
          <cell r="C216">
            <v>6.6</v>
          </cell>
          <cell r="D216">
            <v>0.6</v>
          </cell>
          <cell r="E216">
            <v>46.8</v>
          </cell>
          <cell r="F216">
            <v>224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 t="str">
            <v>-</v>
          </cell>
        </row>
        <row r="217">
          <cell r="A217" t="str">
            <v>Йогурт</v>
          </cell>
          <cell r="B217" t="str">
            <v>125</v>
          </cell>
          <cell r="C217">
            <v>5.0999999999999996</v>
          </cell>
          <cell r="D217">
            <v>1.9</v>
          </cell>
          <cell r="E217">
            <v>7.4</v>
          </cell>
          <cell r="F217">
            <v>70</v>
          </cell>
          <cell r="G217">
            <v>155</v>
          </cell>
          <cell r="H217">
            <v>18.8</v>
          </cell>
          <cell r="I217">
            <v>0.1</v>
          </cell>
          <cell r="J217">
            <v>0.8</v>
          </cell>
          <cell r="K217" t="str">
            <v>-</v>
          </cell>
        </row>
        <row r="218">
          <cell r="A218" t="str">
            <v>Повидло фруктовое</v>
          </cell>
          <cell r="B218" t="str">
            <v>100</v>
          </cell>
          <cell r="C218">
            <v>0.4</v>
          </cell>
          <cell r="D218">
            <v>0</v>
          </cell>
          <cell r="E218">
            <v>65</v>
          </cell>
          <cell r="F218">
            <v>252</v>
          </cell>
          <cell r="G218">
            <v>14</v>
          </cell>
          <cell r="H218">
            <v>7</v>
          </cell>
          <cell r="I218">
            <v>1.3</v>
          </cell>
          <cell r="J218">
            <v>0.5</v>
          </cell>
          <cell r="K218" t="str">
            <v>-</v>
          </cell>
        </row>
        <row r="219">
          <cell r="A219" t="str">
            <v>Сок</v>
          </cell>
          <cell r="B219" t="str">
            <v>200</v>
          </cell>
          <cell r="C219">
            <v>1</v>
          </cell>
          <cell r="D219">
            <v>0.2</v>
          </cell>
          <cell r="E219">
            <v>20.2</v>
          </cell>
          <cell r="F219">
            <v>86</v>
          </cell>
          <cell r="G219">
            <v>14</v>
          </cell>
          <cell r="H219">
            <v>8</v>
          </cell>
          <cell r="I219">
            <v>2.8</v>
          </cell>
          <cell r="J219">
            <v>4</v>
          </cell>
          <cell r="K219" t="str">
            <v>-</v>
          </cell>
        </row>
        <row r="220">
          <cell r="A220" t="str">
            <v>Джем порционный 15 г</v>
          </cell>
          <cell r="B220" t="str">
            <v>15</v>
          </cell>
          <cell r="C220">
            <v>0.06</v>
          </cell>
          <cell r="D220">
            <v>0</v>
          </cell>
          <cell r="E220">
            <v>9.75</v>
          </cell>
          <cell r="F220">
            <v>37.799999999999997</v>
          </cell>
          <cell r="G220">
            <v>2.1</v>
          </cell>
          <cell r="H220">
            <v>1.05</v>
          </cell>
          <cell r="I220">
            <v>0.19500000000000001</v>
          </cell>
          <cell r="J220">
            <v>7.4999999999999997E-2</v>
          </cell>
          <cell r="K220" t="str">
            <v>-</v>
          </cell>
        </row>
        <row r="221">
          <cell r="A221" t="str">
            <v>Джем порционный 20 г</v>
          </cell>
          <cell r="B221" t="str">
            <v>20</v>
          </cell>
          <cell r="C221">
            <v>0.08</v>
          </cell>
          <cell r="D221">
            <v>0</v>
          </cell>
          <cell r="E221">
            <v>13</v>
          </cell>
          <cell r="F221">
            <v>50.4</v>
          </cell>
          <cell r="G221">
            <v>2.8</v>
          </cell>
          <cell r="H221">
            <v>1.4</v>
          </cell>
          <cell r="I221">
            <v>0.26</v>
          </cell>
          <cell r="J221">
            <v>0.1</v>
          </cell>
          <cell r="K221" t="str">
            <v>-</v>
          </cell>
        </row>
        <row r="222">
          <cell r="A222" t="str">
            <v>Чоко-пай</v>
          </cell>
          <cell r="B222" t="str">
            <v>28</v>
          </cell>
          <cell r="C222">
            <v>0.24</v>
          </cell>
          <cell r="D222">
            <v>0.03</v>
          </cell>
          <cell r="E222">
            <v>23.94</v>
          </cell>
          <cell r="F222">
            <v>94.15</v>
          </cell>
          <cell r="G222">
            <v>7.5</v>
          </cell>
          <cell r="H222">
            <v>1.8</v>
          </cell>
          <cell r="I222">
            <v>0.42</v>
          </cell>
          <cell r="J222">
            <v>0</v>
          </cell>
          <cell r="K222" t="str">
            <v>-</v>
          </cell>
        </row>
        <row r="223">
          <cell r="A223" t="str">
            <v>Кисель "Витошка"</v>
          </cell>
          <cell r="B223" t="str">
            <v>200</v>
          </cell>
          <cell r="C223">
            <v>0</v>
          </cell>
          <cell r="D223">
            <v>0</v>
          </cell>
          <cell r="E223">
            <v>19</v>
          </cell>
          <cell r="F223">
            <v>72</v>
          </cell>
          <cell r="G223">
            <v>0</v>
          </cell>
          <cell r="H223">
            <v>0</v>
          </cell>
          <cell r="I223">
            <v>0</v>
          </cell>
          <cell r="J223">
            <v>8</v>
          </cell>
          <cell r="K223">
            <v>0</v>
          </cell>
        </row>
        <row r="224">
          <cell r="A224" t="str">
            <v>Тефтели из горбуши</v>
          </cell>
          <cell r="B224" t="str">
            <v>100</v>
          </cell>
          <cell r="C224">
            <v>16.8</v>
          </cell>
          <cell r="D224">
            <v>6.7</v>
          </cell>
          <cell r="E224">
            <v>4.5</v>
          </cell>
          <cell r="F224">
            <v>147</v>
          </cell>
          <cell r="G224">
            <v>25.4</v>
          </cell>
          <cell r="H224">
            <v>0</v>
          </cell>
          <cell r="I224">
            <v>0.8</v>
          </cell>
          <cell r="J224">
            <v>0.8</v>
          </cell>
          <cell r="K224" t="str">
            <v>10*8</v>
          </cell>
        </row>
        <row r="225">
          <cell r="A225" t="str">
            <v>Чай с малиной и сахаром</v>
          </cell>
          <cell r="B225" t="str">
            <v>200</v>
          </cell>
          <cell r="C225">
            <v>0.2</v>
          </cell>
          <cell r="D225">
            <v>0.1</v>
          </cell>
          <cell r="E225">
            <v>9.4</v>
          </cell>
          <cell r="F225">
            <v>38</v>
          </cell>
          <cell r="G225">
            <v>1.7</v>
          </cell>
          <cell r="H225">
            <v>0</v>
          </cell>
          <cell r="I225">
            <v>0.1</v>
          </cell>
          <cell r="J225">
            <v>0.4</v>
          </cell>
          <cell r="K225" t="str">
            <v>11*18</v>
          </cell>
        </row>
        <row r="226">
          <cell r="A226" t="str">
            <v>Свинина тушенная в соусе</v>
          </cell>
          <cell r="B226" t="str">
            <v>100</v>
          </cell>
          <cell r="C226">
            <v>15.7</v>
          </cell>
          <cell r="D226">
            <v>15.7</v>
          </cell>
          <cell r="E226">
            <v>19.8</v>
          </cell>
          <cell r="F226">
            <v>289</v>
          </cell>
          <cell r="G226">
            <v>24.5</v>
          </cell>
          <cell r="H226">
            <v>2.8</v>
          </cell>
          <cell r="I226">
            <v>0</v>
          </cell>
          <cell r="J226">
            <v>10.7</v>
          </cell>
          <cell r="K226" t="str">
            <v>8*52</v>
          </cell>
        </row>
        <row r="227">
          <cell r="A227" t="str">
            <v>Пирожок сдобный с повидлом и курагой</v>
          </cell>
          <cell r="B227" t="str">
            <v>100</v>
          </cell>
          <cell r="C227">
            <v>4.9000000000000004</v>
          </cell>
          <cell r="D227">
            <v>4.3</v>
          </cell>
          <cell r="E227">
            <v>40.9</v>
          </cell>
          <cell r="F227">
            <v>222</v>
          </cell>
          <cell r="G227">
            <v>20.13</v>
          </cell>
          <cell r="H227">
            <v>11.56</v>
          </cell>
          <cell r="I227">
            <v>1.66</v>
          </cell>
          <cell r="J227">
            <v>4.4000000000000004</v>
          </cell>
          <cell r="K227" t="str">
            <v>13*55</v>
          </cell>
        </row>
        <row r="228">
          <cell r="A228" t="str">
            <v>Напиток из черноплодной рябины</v>
          </cell>
          <cell r="B228">
            <v>200</v>
          </cell>
          <cell r="C228">
            <v>0.1</v>
          </cell>
          <cell r="D228">
            <v>0.1</v>
          </cell>
          <cell r="E228">
            <v>21.2</v>
          </cell>
          <cell r="F228">
            <v>83</v>
          </cell>
          <cell r="G228">
            <v>2.72</v>
          </cell>
          <cell r="H228">
            <v>0.67</v>
          </cell>
          <cell r="I228">
            <v>7.0000000000000007E-2</v>
          </cell>
          <cell r="J228">
            <v>0.6</v>
          </cell>
          <cell r="K228" t="str">
            <v>11*1</v>
          </cell>
        </row>
        <row r="229">
          <cell r="A229" t="str">
            <v>Филе куриное тушенное с овощами</v>
          </cell>
          <cell r="B229" t="str">
            <v>100</v>
          </cell>
          <cell r="C229">
            <v>28.25</v>
          </cell>
          <cell r="D229">
            <v>12.25</v>
          </cell>
          <cell r="E229">
            <v>19.75</v>
          </cell>
          <cell r="F229">
            <v>305</v>
          </cell>
          <cell r="G229">
            <v>39.362499999999997</v>
          </cell>
          <cell r="H229">
            <v>55.4375</v>
          </cell>
          <cell r="I229">
            <v>2.7749999999999999</v>
          </cell>
          <cell r="J229">
            <v>11.3375</v>
          </cell>
          <cell r="K229" t="str">
            <v>9*60</v>
          </cell>
        </row>
        <row r="230">
          <cell r="A230" t="str">
            <v>Бутерброд с маслом 20/5</v>
          </cell>
          <cell r="B230" t="str">
            <v>25</v>
          </cell>
          <cell r="C230">
            <v>1.3</v>
          </cell>
          <cell r="D230">
            <v>10.8</v>
          </cell>
          <cell r="E230">
            <v>8.1999999999999993</v>
          </cell>
          <cell r="F230">
            <v>135.19999999999999</v>
          </cell>
          <cell r="G230">
            <v>1.36</v>
          </cell>
          <cell r="H230">
            <v>4.66</v>
          </cell>
          <cell r="I230">
            <v>3.5999999999999997E-2</v>
          </cell>
          <cell r="J230">
            <v>4.3999999999999997E-2</v>
          </cell>
          <cell r="K230" t="str">
            <v>1*50</v>
          </cell>
        </row>
        <row r="231">
          <cell r="A231" t="str">
            <v>Плов из птицы</v>
          </cell>
          <cell r="B231">
            <v>200</v>
          </cell>
          <cell r="C231">
            <v>17.37</v>
          </cell>
          <cell r="D231">
            <v>9.0540000000000003</v>
          </cell>
          <cell r="E231">
            <v>30.789000000000001</v>
          </cell>
          <cell r="F231">
            <v>274.12200000000001</v>
          </cell>
          <cell r="G231">
            <v>16.596</v>
          </cell>
          <cell r="H231">
            <v>48.545999999999999</v>
          </cell>
          <cell r="I231">
            <v>2.0790000000000002</v>
          </cell>
          <cell r="J231">
            <v>1.2509999999999999</v>
          </cell>
          <cell r="K231" t="str">
            <v>8*59</v>
          </cell>
        </row>
        <row r="232">
          <cell r="A232" t="str">
            <v>Жаркое по-домашнему со свининой</v>
          </cell>
          <cell r="B232">
            <v>200</v>
          </cell>
          <cell r="C232">
            <v>17.37</v>
          </cell>
          <cell r="D232">
            <v>9.0540000000000003</v>
          </cell>
          <cell r="E232">
            <v>30.789000000000001</v>
          </cell>
          <cell r="F232">
            <v>274.12200000000001</v>
          </cell>
          <cell r="G232">
            <v>16.596</v>
          </cell>
          <cell r="H232">
            <v>48.545999999999999</v>
          </cell>
          <cell r="I232">
            <v>2.0790000000000002</v>
          </cell>
          <cell r="J232">
            <v>1.2509999999999999</v>
          </cell>
          <cell r="K232" t="str">
            <v>8*59</v>
          </cell>
        </row>
        <row r="233">
          <cell r="A233" t="str">
            <v>Напиток в ассортименте</v>
          </cell>
          <cell r="B233" t="str">
            <v>200</v>
          </cell>
          <cell r="C233">
            <v>0.11</v>
          </cell>
          <cell r="D233">
            <v>0.04</v>
          </cell>
          <cell r="E233">
            <v>21.25</v>
          </cell>
          <cell r="F233">
            <v>85.841149999999999</v>
          </cell>
          <cell r="G233">
            <v>6.15</v>
          </cell>
          <cell r="H233">
            <v>1.8</v>
          </cell>
          <cell r="I233">
            <v>0.08</v>
          </cell>
          <cell r="J233">
            <v>2</v>
          </cell>
          <cell r="K233" t="str">
            <v>11*14</v>
          </cell>
        </row>
        <row r="234">
          <cell r="A234" t="str">
            <v>Гречанка</v>
          </cell>
          <cell r="B234" t="str">
            <v>100</v>
          </cell>
          <cell r="C234">
            <v>12.9</v>
          </cell>
          <cell r="D234">
            <v>13.1</v>
          </cell>
          <cell r="E234">
            <v>11.8</v>
          </cell>
          <cell r="F234">
            <v>217</v>
          </cell>
          <cell r="G234">
            <v>19.89</v>
          </cell>
          <cell r="H234">
            <v>23.01</v>
          </cell>
          <cell r="I234">
            <v>2.13</v>
          </cell>
          <cell r="J234">
            <v>3</v>
          </cell>
          <cell r="K234" t="str">
            <v>8*79</v>
          </cell>
        </row>
        <row r="235">
          <cell r="A235" t="str">
            <v>Горошек зеленый</v>
          </cell>
          <cell r="B235" t="str">
            <v>100</v>
          </cell>
          <cell r="C235">
            <v>0.8</v>
          </cell>
          <cell r="D235">
            <v>0.1</v>
          </cell>
          <cell r="E235">
            <v>2.5</v>
          </cell>
          <cell r="F235">
            <v>14</v>
          </cell>
          <cell r="G235">
            <v>26.15</v>
          </cell>
          <cell r="H235">
            <v>13.94</v>
          </cell>
          <cell r="I235">
            <v>0.62</v>
          </cell>
          <cell r="J235">
            <v>9.8000000000000007</v>
          </cell>
          <cell r="K235" t="str">
            <v>7*11</v>
          </cell>
        </row>
        <row r="236">
          <cell r="A236" t="str">
            <v>Салат из припущенной моркови с растительным маслом</v>
          </cell>
          <cell r="B236" t="str">
            <v>100</v>
          </cell>
          <cell r="C236">
            <v>1</v>
          </cell>
          <cell r="D236">
            <v>6</v>
          </cell>
          <cell r="E236">
            <v>9.4</v>
          </cell>
          <cell r="F236">
            <v>99</v>
          </cell>
          <cell r="G236">
            <v>22.3</v>
          </cell>
          <cell r="H236">
            <v>0</v>
          </cell>
          <cell r="I236">
            <v>0.9</v>
          </cell>
          <cell r="J236">
            <v>3</v>
          </cell>
          <cell r="K236" t="str">
            <v>7*65</v>
          </cell>
        </row>
        <row r="237">
          <cell r="A237" t="str">
            <v>Омлет безмолочный запеченный или паровой</v>
          </cell>
          <cell r="B237" t="str">
            <v>200</v>
          </cell>
          <cell r="C237">
            <v>18.399999999999999</v>
          </cell>
          <cell r="D237">
            <v>27</v>
          </cell>
          <cell r="E237">
            <v>4.8</v>
          </cell>
          <cell r="F237">
            <v>335</v>
          </cell>
          <cell r="G237">
            <v>80.59</v>
          </cell>
          <cell r="H237">
            <v>12.5</v>
          </cell>
          <cell r="I237">
            <v>1.56</v>
          </cell>
          <cell r="J237">
            <v>0.27</v>
          </cell>
          <cell r="K237" t="str">
            <v>4*56</v>
          </cell>
        </row>
        <row r="238">
          <cell r="A238" t="str">
            <v>Салат из отварной свеклы с солеными огурцами и растительным маслом</v>
          </cell>
          <cell r="B238" t="str">
            <v>100</v>
          </cell>
          <cell r="C238">
            <v>2.08</v>
          </cell>
          <cell r="D238">
            <v>5.84</v>
          </cell>
          <cell r="E238">
            <v>5.2</v>
          </cell>
          <cell r="F238">
            <v>84</v>
          </cell>
          <cell r="G238">
            <v>65.12</v>
          </cell>
          <cell r="H238">
            <v>16.8</v>
          </cell>
          <cell r="I238">
            <v>0.96</v>
          </cell>
          <cell r="J238">
            <v>1.52</v>
          </cell>
          <cell r="K238" t="str">
            <v>7*34</v>
          </cell>
        </row>
        <row r="239">
          <cell r="A239" t="str">
            <v xml:space="preserve">Рассольник Ленинградский </v>
          </cell>
          <cell r="B239" t="str">
            <v>300</v>
          </cell>
          <cell r="C239">
            <v>6.7</v>
          </cell>
          <cell r="D239">
            <v>14.5</v>
          </cell>
          <cell r="E239">
            <v>18.8</v>
          </cell>
          <cell r="F239">
            <v>240</v>
          </cell>
          <cell r="G239">
            <v>44</v>
          </cell>
          <cell r="H239">
            <v>35.9</v>
          </cell>
          <cell r="I239">
            <v>1.7</v>
          </cell>
          <cell r="J239">
            <v>7.3</v>
          </cell>
          <cell r="K239" t="str">
            <v>6*70</v>
          </cell>
        </row>
        <row r="240">
          <cell r="A240" t="str">
            <v>Котлета куриная с растительным маслом</v>
          </cell>
          <cell r="B240">
            <v>100</v>
          </cell>
          <cell r="C240">
            <v>19.100000000000001</v>
          </cell>
          <cell r="D240">
            <v>3.1</v>
          </cell>
          <cell r="E240">
            <v>8.3000000000000007</v>
          </cell>
          <cell r="F240">
            <v>138</v>
          </cell>
          <cell r="G240">
            <v>41.81</v>
          </cell>
          <cell r="H240">
            <v>18.41</v>
          </cell>
          <cell r="I240">
            <v>1.17</v>
          </cell>
          <cell r="J240">
            <v>0.37</v>
          </cell>
          <cell r="K240" t="str">
            <v>9*8</v>
          </cell>
        </row>
        <row r="241">
          <cell r="A241" t="str">
            <v>Мясо говядины тушеное с овощами в соусе</v>
          </cell>
          <cell r="B241" t="str">
            <v>100</v>
          </cell>
          <cell r="C241">
            <v>13.9</v>
          </cell>
          <cell r="D241">
            <v>12.5</v>
          </cell>
          <cell r="E241">
            <v>3.8</v>
          </cell>
          <cell r="F241">
            <v>184</v>
          </cell>
          <cell r="G241">
            <v>12.82</v>
          </cell>
          <cell r="H241">
            <v>17.37</v>
          </cell>
          <cell r="I241">
            <v>1.95</v>
          </cell>
          <cell r="J241">
            <v>0.92</v>
          </cell>
          <cell r="K241" t="str">
            <v>8*12</v>
          </cell>
        </row>
        <row r="242">
          <cell r="A242" t="str">
            <v>Салат из отварной свеклы с солеными огурцами,яйцом и растительным маслом</v>
          </cell>
          <cell r="B242" t="str">
            <v>100</v>
          </cell>
          <cell r="C242">
            <v>1.3</v>
          </cell>
          <cell r="D242">
            <v>6</v>
          </cell>
          <cell r="E242">
            <v>6</v>
          </cell>
          <cell r="F242">
            <v>86</v>
          </cell>
          <cell r="G242">
            <v>30.8</v>
          </cell>
          <cell r="H242">
            <v>0</v>
          </cell>
          <cell r="I242">
            <v>1.1000000000000001</v>
          </cell>
          <cell r="J242">
            <v>2.4</v>
          </cell>
          <cell r="K242" t="str">
            <v>7*68</v>
          </cell>
        </row>
        <row r="243">
          <cell r="A243" t="str">
            <v>Суфле куриное</v>
          </cell>
          <cell r="B243">
            <v>100</v>
          </cell>
          <cell r="C243">
            <v>19.100000000000001</v>
          </cell>
          <cell r="D243">
            <v>3.1</v>
          </cell>
          <cell r="E243">
            <v>8.3000000000000007</v>
          </cell>
          <cell r="F243">
            <v>138</v>
          </cell>
          <cell r="G243">
            <v>41.81</v>
          </cell>
          <cell r="H243">
            <v>18.41</v>
          </cell>
          <cell r="I243">
            <v>1.17</v>
          </cell>
          <cell r="J243">
            <v>0.37</v>
          </cell>
          <cell r="K243" t="str">
            <v>9*8</v>
          </cell>
        </row>
        <row r="244">
          <cell r="A244" t="str">
            <v>Каша геркулесовая молочная с маслом без сахара</v>
          </cell>
          <cell r="B244" t="str">
            <v>200</v>
          </cell>
          <cell r="C244">
            <v>6</v>
          </cell>
          <cell r="D244">
            <v>5.3</v>
          </cell>
          <cell r="E244">
            <v>30.7</v>
          </cell>
          <cell r="F244">
            <v>195</v>
          </cell>
          <cell r="G244">
            <v>58.09</v>
          </cell>
          <cell r="H244">
            <v>13.65</v>
          </cell>
          <cell r="I244">
            <v>0.37</v>
          </cell>
          <cell r="J244">
            <v>0.21</v>
          </cell>
          <cell r="K244" t="str">
            <v>2*57</v>
          </cell>
        </row>
        <row r="245">
          <cell r="A245" t="str">
            <v>Какао с молоком  без сахара</v>
          </cell>
          <cell r="B245">
            <v>200</v>
          </cell>
          <cell r="C245">
            <v>3.6</v>
          </cell>
          <cell r="D245">
            <v>2.7</v>
          </cell>
          <cell r="E245">
            <v>22.9</v>
          </cell>
          <cell r="F245">
            <v>127</v>
          </cell>
          <cell r="G245">
            <v>55.32</v>
          </cell>
          <cell r="H245">
            <v>13.49</v>
          </cell>
          <cell r="I245">
            <v>0.45</v>
          </cell>
          <cell r="J245">
            <v>0.26</v>
          </cell>
          <cell r="K245" t="str">
            <v>11*51</v>
          </cell>
        </row>
        <row r="246">
          <cell r="A246" t="str">
            <v>Каша гречневая безмолочная с маслом растит и отрубями</v>
          </cell>
          <cell r="B246" t="str">
            <v>200</v>
          </cell>
          <cell r="C246">
            <v>6</v>
          </cell>
          <cell r="D246">
            <v>5.3</v>
          </cell>
          <cell r="E246">
            <v>30.7</v>
          </cell>
          <cell r="F246">
            <v>195</v>
          </cell>
          <cell r="G246">
            <v>58.09</v>
          </cell>
          <cell r="H246">
            <v>13.65</v>
          </cell>
          <cell r="I246">
            <v>0.37</v>
          </cell>
          <cell r="J246">
            <v>0.21</v>
          </cell>
          <cell r="K246" t="str">
            <v>2*57</v>
          </cell>
        </row>
        <row r="247">
          <cell r="A247" t="str">
            <v>Салат из квашеной капусты с зеленью</v>
          </cell>
          <cell r="B247" t="str">
            <v>100</v>
          </cell>
          <cell r="C247">
            <v>2.52</v>
          </cell>
          <cell r="D247">
            <v>2.65</v>
          </cell>
          <cell r="E247">
            <v>7.53</v>
          </cell>
          <cell r="F247">
            <v>69.5</v>
          </cell>
          <cell r="G247">
            <v>59.7</v>
          </cell>
          <cell r="H247">
            <v>24.6</v>
          </cell>
          <cell r="I247">
            <v>0.92</v>
          </cell>
          <cell r="J247">
            <v>18.600000000000001</v>
          </cell>
          <cell r="K247" t="str">
            <v>5*57</v>
          </cell>
        </row>
        <row r="248">
          <cell r="A248" t="str">
            <v>Ризотто с овощами</v>
          </cell>
          <cell r="B248" t="str">
            <v>100</v>
          </cell>
          <cell r="C248">
            <v>2.4</v>
          </cell>
          <cell r="D248">
            <v>3.7</v>
          </cell>
          <cell r="E248">
            <v>23.4</v>
          </cell>
          <cell r="F248">
            <v>138</v>
          </cell>
          <cell r="G248">
            <v>8.9</v>
          </cell>
          <cell r="H248">
            <v>17.739999999999998</v>
          </cell>
          <cell r="I248">
            <v>0.41</v>
          </cell>
          <cell r="J248">
            <v>0.31</v>
          </cell>
          <cell r="K248" t="str">
            <v>5*7</v>
          </cell>
        </row>
        <row r="249">
          <cell r="A249" t="str">
            <v>Закуска из припущенной моркови и яблок</v>
          </cell>
          <cell r="B249" t="str">
            <v>100</v>
          </cell>
          <cell r="C249">
            <v>1</v>
          </cell>
          <cell r="D249">
            <v>6</v>
          </cell>
          <cell r="E249">
            <v>9.4</v>
          </cell>
          <cell r="F249">
            <v>99</v>
          </cell>
          <cell r="G249">
            <v>22.3</v>
          </cell>
          <cell r="H249">
            <v>0</v>
          </cell>
          <cell r="I249">
            <v>0.9</v>
          </cell>
          <cell r="J249">
            <v>3</v>
          </cell>
          <cell r="K249" t="str">
            <v>7*65</v>
          </cell>
        </row>
        <row r="250">
          <cell r="A250" t="str">
            <v xml:space="preserve">Картофель по-деревенски </v>
          </cell>
          <cell r="B250" t="str">
            <v>100</v>
          </cell>
          <cell r="C250">
            <v>2.2200000000000002</v>
          </cell>
          <cell r="D250">
            <v>4.38</v>
          </cell>
          <cell r="E250">
            <v>16.97</v>
          </cell>
          <cell r="F250">
            <v>121.1</v>
          </cell>
          <cell r="G250">
            <v>11.1</v>
          </cell>
          <cell r="H250">
            <v>21.58</v>
          </cell>
          <cell r="I250">
            <v>0.85</v>
          </cell>
          <cell r="J250">
            <v>12.84</v>
          </cell>
          <cell r="K250" t="str">
            <v>5*51</v>
          </cell>
        </row>
        <row r="251">
          <cell r="A251" t="str">
            <v>Компот из свежих яблок</v>
          </cell>
          <cell r="B251" t="str">
            <v>200</v>
          </cell>
          <cell r="C251">
            <v>0.4</v>
          </cell>
          <cell r="D251">
            <v>0.2</v>
          </cell>
          <cell r="E251">
            <v>16.100000000000001</v>
          </cell>
          <cell r="F251">
            <v>69</v>
          </cell>
          <cell r="G251">
            <v>14.3</v>
          </cell>
          <cell r="H251">
            <v>8.4</v>
          </cell>
          <cell r="I251">
            <v>1</v>
          </cell>
          <cell r="J251">
            <v>1.7</v>
          </cell>
          <cell r="K251" t="str">
            <v>11*73</v>
          </cell>
        </row>
        <row r="252">
          <cell r="A252" t="str">
            <v>Бигус со свининой</v>
          </cell>
          <cell r="B252" t="str">
            <v>100</v>
          </cell>
          <cell r="C252">
            <v>2.52</v>
          </cell>
          <cell r="D252">
            <v>2.65</v>
          </cell>
          <cell r="E252">
            <v>7.53</v>
          </cell>
          <cell r="F252">
            <v>69.5</v>
          </cell>
          <cell r="G252">
            <v>59.7</v>
          </cell>
          <cell r="H252">
            <v>24.6</v>
          </cell>
          <cell r="I252">
            <v>0.92</v>
          </cell>
          <cell r="J252">
            <v>18.600000000000001</v>
          </cell>
          <cell r="K252" t="str">
            <v>5*57</v>
          </cell>
        </row>
        <row r="253">
          <cell r="A253" t="str">
            <v>Рыба по-русски</v>
          </cell>
          <cell r="B253">
            <v>100</v>
          </cell>
          <cell r="C253">
            <v>19.100000000000001</v>
          </cell>
          <cell r="D253">
            <v>3.1</v>
          </cell>
          <cell r="E253">
            <v>8.3000000000000007</v>
          </cell>
          <cell r="F253">
            <v>138</v>
          </cell>
          <cell r="G253">
            <v>41.81</v>
          </cell>
          <cell r="H253">
            <v>18.41</v>
          </cell>
          <cell r="I253">
            <v>1.17</v>
          </cell>
          <cell r="J253">
            <v>0.37</v>
          </cell>
          <cell r="K253" t="str">
            <v>9*8</v>
          </cell>
        </row>
        <row r="254">
          <cell r="A254" t="str">
            <v>Лагман (говядина)</v>
          </cell>
          <cell r="B254" t="str">
            <v>100</v>
          </cell>
          <cell r="C254">
            <v>13.9</v>
          </cell>
          <cell r="D254">
            <v>12.5</v>
          </cell>
          <cell r="E254">
            <v>3.8</v>
          </cell>
          <cell r="F254">
            <v>184</v>
          </cell>
          <cell r="G254">
            <v>12.82</v>
          </cell>
          <cell r="H254">
            <v>17.37</v>
          </cell>
          <cell r="I254">
            <v>1.95</v>
          </cell>
          <cell r="J254">
            <v>0.92</v>
          </cell>
          <cell r="K254" t="str">
            <v>8*12</v>
          </cell>
        </row>
        <row r="255">
          <cell r="A255" t="str">
            <v>Филе куриное с овощами под сыром</v>
          </cell>
          <cell r="B255" t="str">
            <v>100</v>
          </cell>
          <cell r="C255">
            <v>28.25</v>
          </cell>
          <cell r="D255">
            <v>12.25</v>
          </cell>
          <cell r="E255">
            <v>19.75</v>
          </cell>
          <cell r="F255">
            <v>305</v>
          </cell>
          <cell r="G255">
            <v>39.362499999999997</v>
          </cell>
          <cell r="H255">
            <v>55.4375</v>
          </cell>
          <cell r="I255">
            <v>2.7749999999999999</v>
          </cell>
          <cell r="J255">
            <v>11.3375</v>
          </cell>
          <cell r="K255" t="str">
            <v>9*60</v>
          </cell>
        </row>
        <row r="256">
          <cell r="A256" t="str">
            <v>Шашлычок из курицы с соусом</v>
          </cell>
          <cell r="B256">
            <v>100</v>
          </cell>
          <cell r="C256">
            <v>19.100000000000001</v>
          </cell>
          <cell r="D256">
            <v>3.1</v>
          </cell>
          <cell r="E256">
            <v>8.3000000000000007</v>
          </cell>
          <cell r="F256">
            <v>138</v>
          </cell>
          <cell r="G256">
            <v>41.81</v>
          </cell>
          <cell r="H256">
            <v>18.41</v>
          </cell>
          <cell r="I256">
            <v>1.17</v>
          </cell>
          <cell r="J256">
            <v>0.37</v>
          </cell>
          <cell r="K256" t="str">
            <v>9*8</v>
          </cell>
        </row>
        <row r="257">
          <cell r="A257" t="str">
            <v>Свинина по-французски с сыром и луком</v>
          </cell>
          <cell r="B257">
            <v>200</v>
          </cell>
          <cell r="C257">
            <v>17.37</v>
          </cell>
          <cell r="D257">
            <v>9.0540000000000003</v>
          </cell>
          <cell r="E257">
            <v>30.789000000000001</v>
          </cell>
          <cell r="F257">
            <v>274.12200000000001</v>
          </cell>
          <cell r="G257">
            <v>16.596</v>
          </cell>
          <cell r="H257">
            <v>48.545999999999999</v>
          </cell>
          <cell r="I257">
            <v>2.0790000000000002</v>
          </cell>
          <cell r="J257">
            <v>1.2509999999999999</v>
          </cell>
          <cell r="K257" t="str">
            <v>8*59</v>
          </cell>
        </row>
        <row r="258">
          <cell r="A258" t="str">
            <v>Закуска  из квашеной капусты с зеленью</v>
          </cell>
          <cell r="B258" t="str">
            <v>100</v>
          </cell>
          <cell r="C258">
            <v>2.52</v>
          </cell>
          <cell r="D258">
            <v>2.65</v>
          </cell>
          <cell r="E258">
            <v>7.53</v>
          </cell>
          <cell r="F258">
            <v>69.5</v>
          </cell>
          <cell r="G258">
            <v>59.7</v>
          </cell>
          <cell r="H258">
            <v>24.6</v>
          </cell>
          <cell r="I258">
            <v>0.92</v>
          </cell>
          <cell r="J258">
            <v>18.600000000000001</v>
          </cell>
          <cell r="K258" t="str">
            <v>5*57</v>
          </cell>
        </row>
        <row r="259">
          <cell r="A259" t="str">
            <v>Салат из белокоч.капусты, яблока, морки и раст.масла</v>
          </cell>
          <cell r="B259" t="str">
            <v>100</v>
          </cell>
          <cell r="C259">
            <v>4.2300000000000004</v>
          </cell>
          <cell r="D259">
            <v>7.76</v>
          </cell>
          <cell r="E259">
            <v>15.09</v>
          </cell>
          <cell r="F259">
            <v>147.10486</v>
          </cell>
          <cell r="G259">
            <v>52.01</v>
          </cell>
          <cell r="H259">
            <v>29.4</v>
          </cell>
          <cell r="I259">
            <v>1.28</v>
          </cell>
          <cell r="J259">
            <v>39.25</v>
          </cell>
          <cell r="K259" t="str">
            <v>7*36</v>
          </cell>
        </row>
        <row r="260">
          <cell r="A260" t="str">
            <v>Плов из птицы (бедро куриное) с куркумой</v>
          </cell>
          <cell r="B260">
            <v>200</v>
          </cell>
          <cell r="C260">
            <v>17.37</v>
          </cell>
          <cell r="D260">
            <v>9.0540000000000003</v>
          </cell>
          <cell r="E260">
            <v>30.789000000000001</v>
          </cell>
          <cell r="F260">
            <v>274.12200000000001</v>
          </cell>
          <cell r="G260">
            <v>16.596</v>
          </cell>
          <cell r="H260">
            <v>48.545999999999999</v>
          </cell>
          <cell r="I260">
            <v>2.0790000000000002</v>
          </cell>
          <cell r="J260">
            <v>1.2509999999999999</v>
          </cell>
          <cell r="K260" t="str">
            <v>8*59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6"/>
      <sheetName val="17"/>
      <sheetName val="19"/>
      <sheetName val="85"/>
      <sheetName val="64"/>
      <sheetName val="109 (1)"/>
      <sheetName val="109 (2)"/>
      <sheetName val="181 (1)"/>
      <sheetName val="181 (2)"/>
      <sheetName val="1 Мл"/>
      <sheetName val="1 Ст"/>
      <sheetName val="Арт-Этюд"/>
      <sheetName val="19 Мл"/>
      <sheetName val="19 Ст"/>
      <sheetName val="64 Мл"/>
      <sheetName val="64 Ст"/>
      <sheetName val="85 Мл"/>
      <sheetName val="85 Ст"/>
      <sheetName val="109 Мл"/>
      <sheetName val="109 Ст"/>
      <sheetName val="181 Ст"/>
      <sheetName val="181 Мл"/>
      <sheetName val="АЭ Мл"/>
      <sheetName val="16 Ст"/>
      <sheetName val="АЭ Ст"/>
      <sheetName val="16 Мл"/>
      <sheetName val="17 Ст"/>
      <sheetName val="17 Мл"/>
      <sheetName val="Реест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1:K219" totalsRowShown="0">
  <autoFilter ref="A1:K219" xr:uid="{00000000-0009-0000-0100-000001000000}"/>
  <tableColumns count="11">
    <tableColumn id="1" xr3:uid="{00000000-0010-0000-0000-000001000000}" name="Наименование"/>
    <tableColumn id="2" xr3:uid="{00000000-0010-0000-0000-000002000000}" name="Выход, г"/>
    <tableColumn id="3" xr3:uid="{00000000-0010-0000-0000-000003000000}" name="Белки, г"/>
    <tableColumn id="4" xr3:uid="{00000000-0010-0000-0000-000004000000}" name="Жиры, г"/>
    <tableColumn id="5" xr3:uid="{00000000-0010-0000-0000-000005000000}" name="Углеводы, г"/>
    <tableColumn id="6" xr3:uid="{00000000-0010-0000-0000-000006000000}" name="Энергетическая ценность, ккал"/>
    <tableColumn id="7" xr3:uid="{00000000-0010-0000-0000-000007000000}" name="Ca, мг"/>
    <tableColumn id="8" xr3:uid="{00000000-0010-0000-0000-000008000000}" name="Mg, мг"/>
    <tableColumn id="9" xr3:uid="{00000000-0010-0000-0000-000009000000}" name="Fe, мг"/>
    <tableColumn id="10" xr3:uid="{00000000-0010-0000-0000-00000A000000}" name="С, мг"/>
    <tableColumn id="11" xr3:uid="{00000000-0010-0000-0000-00000B000000}" name="Номер ТК*ТТК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0" filterMode="1">
    <pageSetUpPr fitToPage="1"/>
  </sheetPr>
  <dimension ref="A1:N154"/>
  <sheetViews>
    <sheetView view="pageBreakPreview" zoomScaleNormal="70" zoomScaleSheetLayoutView="100" workbookViewId="0">
      <selection activeCell="F7" sqref="F7"/>
    </sheetView>
  </sheetViews>
  <sheetFormatPr defaultRowHeight="15" x14ac:dyDescent="0.25"/>
  <cols>
    <col min="1" max="2" width="11" style="125" customWidth="1"/>
    <col min="3" max="3" width="10.5703125" style="125" customWidth="1"/>
    <col min="4" max="4" width="9.5703125" style="125" customWidth="1"/>
    <col min="5" max="5" width="14.28515625" style="125" customWidth="1"/>
    <col min="6" max="6" width="58" style="125" customWidth="1"/>
    <col min="7" max="7" width="21.7109375" style="125" hidden="1" customWidth="1"/>
    <col min="8" max="9" width="15.5703125" style="125" customWidth="1"/>
    <col min="10" max="10" width="19.28515625" style="125" customWidth="1"/>
    <col min="11" max="11" width="7.42578125" style="125" customWidth="1"/>
    <col min="12" max="12" width="10.28515625" style="125" customWidth="1"/>
    <col min="13" max="13" width="11" style="125" customWidth="1"/>
    <col min="14" max="1025" width="8.7109375" style="125" customWidth="1"/>
    <col min="1026" max="16384" width="9.140625" style="125"/>
  </cols>
  <sheetData>
    <row r="1" spans="1:14" ht="30" customHeight="1" x14ac:dyDescent="0.25">
      <c r="A1" s="124" t="s">
        <v>0</v>
      </c>
      <c r="B1" s="124"/>
      <c r="C1" s="224"/>
      <c r="D1" s="224"/>
      <c r="E1" s="224"/>
      <c r="F1" s="400" t="s">
        <v>1</v>
      </c>
      <c r="G1" s="124"/>
      <c r="H1" s="436" t="s">
        <v>0</v>
      </c>
      <c r="I1" s="436"/>
    </row>
    <row r="2" spans="1:14" ht="30" customHeight="1" x14ac:dyDescent="0.25">
      <c r="A2" s="224" t="s">
        <v>2</v>
      </c>
      <c r="B2" s="224"/>
      <c r="C2" s="225"/>
      <c r="D2" s="225"/>
      <c r="E2" s="225"/>
      <c r="F2" s="400" t="s">
        <v>38</v>
      </c>
      <c r="G2" s="124"/>
      <c r="H2" s="436" t="s">
        <v>39</v>
      </c>
      <c r="I2" s="436"/>
    </row>
    <row r="3" spans="1:14" s="202" customFormat="1" ht="30" customHeight="1" x14ac:dyDescent="0.25">
      <c r="A3" s="437" t="s">
        <v>522</v>
      </c>
      <c r="B3" s="437"/>
      <c r="C3" s="437"/>
      <c r="D3" s="438"/>
      <c r="E3" s="438"/>
      <c r="F3" s="231" t="s">
        <v>748</v>
      </c>
      <c r="G3" s="144"/>
      <c r="H3" s="439" t="s">
        <v>40</v>
      </c>
      <c r="I3" s="439"/>
    </row>
    <row r="4" spans="1:14" ht="18.75" customHeight="1" x14ac:dyDescent="0.25">
      <c r="A4" s="444" t="s">
        <v>4</v>
      </c>
      <c r="B4" s="444"/>
      <c r="C4" s="444"/>
      <c r="D4" s="441" t="s">
        <v>5</v>
      </c>
      <c r="E4" s="441" t="s">
        <v>6</v>
      </c>
      <c r="F4" s="441" t="s">
        <v>7</v>
      </c>
      <c r="G4" s="443" t="s">
        <v>8</v>
      </c>
      <c r="H4" s="441" t="s">
        <v>9</v>
      </c>
      <c r="I4" s="441" t="s">
        <v>10</v>
      </c>
      <c r="J4" s="441" t="s">
        <v>11</v>
      </c>
    </row>
    <row r="5" spans="1:14" ht="15.75" x14ac:dyDescent="0.25">
      <c r="A5" s="401" t="s">
        <v>12</v>
      </c>
      <c r="B5" s="401" t="s">
        <v>13</v>
      </c>
      <c r="C5" s="401" t="s">
        <v>14</v>
      </c>
      <c r="D5" s="441"/>
      <c r="E5" s="441"/>
      <c r="F5" s="441"/>
      <c r="G5" s="443"/>
      <c r="H5" s="441"/>
      <c r="I5" s="441"/>
      <c r="J5" s="441"/>
    </row>
    <row r="6" spans="1:14" ht="18.75" x14ac:dyDescent="0.25">
      <c r="A6" s="442" t="s">
        <v>41</v>
      </c>
      <c r="B6" s="442"/>
      <c r="C6" s="442"/>
      <c r="D6" s="442"/>
      <c r="E6" s="442"/>
      <c r="F6" s="442"/>
      <c r="G6" s="442"/>
      <c r="H6" s="442"/>
      <c r="I6" s="126"/>
      <c r="J6" s="126"/>
    </row>
    <row r="7" spans="1:14" ht="30" x14ac:dyDescent="0.3">
      <c r="A7" s="243">
        <v>5.13</v>
      </c>
      <c r="B7" s="243">
        <v>6.15</v>
      </c>
      <c r="C7" s="243">
        <v>19.7</v>
      </c>
      <c r="D7" s="243">
        <v>213</v>
      </c>
      <c r="E7" s="242" t="s">
        <v>721</v>
      </c>
      <c r="F7" s="242" t="s">
        <v>722</v>
      </c>
      <c r="G7" s="211" t="str">
        <f>IFERROR(VLOOKUP(F7,[1]Реестр!A:K,2,0),"")</f>
        <v/>
      </c>
      <c r="H7" s="210">
        <v>40</v>
      </c>
      <c r="I7" s="207">
        <v>49.55</v>
      </c>
      <c r="J7" s="394"/>
    </row>
    <row r="8" spans="1:14" ht="18.75" x14ac:dyDescent="0.3">
      <c r="A8" s="264">
        <v>9.7799999999999994</v>
      </c>
      <c r="B8" s="264">
        <v>10.9</v>
      </c>
      <c r="C8" s="264">
        <v>31.2</v>
      </c>
      <c r="D8" s="264">
        <v>169.5</v>
      </c>
      <c r="E8" s="242" t="s">
        <v>723</v>
      </c>
      <c r="F8" s="242" t="s">
        <v>665</v>
      </c>
      <c r="G8" s="211" t="str">
        <f>IFERROR(VLOOKUP(F8,[1]Реестр!A:K,2,0),"")</f>
        <v/>
      </c>
      <c r="H8" s="210">
        <v>210</v>
      </c>
      <c r="I8" s="207">
        <v>51.38</v>
      </c>
      <c r="J8" s="394"/>
    </row>
    <row r="9" spans="1:14" s="202" customFormat="1" ht="18.75" x14ac:dyDescent="0.3">
      <c r="A9" s="243">
        <v>0</v>
      </c>
      <c r="B9" s="243">
        <v>0</v>
      </c>
      <c r="C9" s="243">
        <v>1.2</v>
      </c>
      <c r="D9" s="243">
        <v>36.144007500000008</v>
      </c>
      <c r="E9" s="242" t="s">
        <v>719</v>
      </c>
      <c r="F9" s="242" t="s">
        <v>720</v>
      </c>
      <c r="G9" s="211" t="str">
        <f>IFERROR(VLOOKUP(F9,[1]Реестр!A:K,2,0),"")</f>
        <v/>
      </c>
      <c r="H9" s="210">
        <v>30</v>
      </c>
      <c r="I9" s="207">
        <v>24.59</v>
      </c>
      <c r="J9" s="394"/>
    </row>
    <row r="10" spans="1:14" ht="18.75" x14ac:dyDescent="0.3">
      <c r="A10" s="243">
        <v>3.64</v>
      </c>
      <c r="B10" s="243">
        <v>2.73</v>
      </c>
      <c r="C10" s="243">
        <v>24.19</v>
      </c>
      <c r="D10" s="243">
        <v>129.56904800000001</v>
      </c>
      <c r="E10" s="242" t="s">
        <v>724</v>
      </c>
      <c r="F10" s="242" t="s">
        <v>357</v>
      </c>
      <c r="G10" s="211" t="str">
        <f>IFERROR(VLOOKUP(F10,[1]Реестр!A:K,2,0),"")</f>
        <v>200</v>
      </c>
      <c r="H10" s="206">
        <v>200</v>
      </c>
      <c r="I10" s="207">
        <v>22.2</v>
      </c>
      <c r="J10" s="394"/>
    </row>
    <row r="11" spans="1:14" ht="18.75" x14ac:dyDescent="0.3">
      <c r="A11" s="264">
        <v>1.3</v>
      </c>
      <c r="B11" s="264">
        <v>0.2</v>
      </c>
      <c r="C11" s="264">
        <v>6.7</v>
      </c>
      <c r="D11" s="264">
        <v>39</v>
      </c>
      <c r="E11" s="381" t="s">
        <v>471</v>
      </c>
      <c r="F11" s="381" t="s">
        <v>707</v>
      </c>
      <c r="G11" s="211" t="str">
        <f>IFERROR(VLOOKUP(F11,[1]Реестр!A:K,2,0),"")</f>
        <v/>
      </c>
      <c r="H11" s="206">
        <v>20</v>
      </c>
      <c r="I11" s="207">
        <v>1.8</v>
      </c>
      <c r="J11" s="393"/>
    </row>
    <row r="12" spans="1:14" ht="18.75" x14ac:dyDescent="0.3">
      <c r="A12" s="429" t="s">
        <v>16</v>
      </c>
      <c r="B12" s="429"/>
      <c r="C12" s="429"/>
      <c r="D12" s="429"/>
      <c r="E12" s="429"/>
      <c r="F12" s="429"/>
      <c r="G12" s="97"/>
      <c r="H12" s="96"/>
      <c r="I12" s="96">
        <f>SUBTOTAL(9,I7:I11)</f>
        <v>149.52000000000001</v>
      </c>
      <c r="J12" s="393"/>
      <c r="K12" s="125">
        <v>108.64</v>
      </c>
      <c r="L12" s="127">
        <f>K12-I12</f>
        <v>-40.88000000000001</v>
      </c>
    </row>
    <row r="13" spans="1:14" ht="18.75" x14ac:dyDescent="0.3">
      <c r="A13" s="440" t="s">
        <v>42</v>
      </c>
      <c r="B13" s="440"/>
      <c r="C13" s="440"/>
      <c r="D13" s="440"/>
      <c r="E13" s="440"/>
      <c r="F13" s="440"/>
      <c r="G13" s="440"/>
      <c r="H13" s="440"/>
      <c r="I13" s="126"/>
      <c r="J13" s="393"/>
    </row>
    <row r="14" spans="1:14" ht="30" x14ac:dyDescent="0.3">
      <c r="A14" s="383">
        <v>1.33</v>
      </c>
      <c r="B14" s="383">
        <v>5.12</v>
      </c>
      <c r="C14" s="383">
        <v>4.0999999999999996</v>
      </c>
      <c r="D14" s="383">
        <v>73.52</v>
      </c>
      <c r="E14" s="382" t="s">
        <v>709</v>
      </c>
      <c r="F14" s="242" t="s">
        <v>710</v>
      </c>
      <c r="G14" s="211" t="str">
        <f>IFERROR(VLOOKUP(F14,[2]Реестр!A:K,2,0),"")</f>
        <v/>
      </c>
      <c r="H14" s="210">
        <v>80</v>
      </c>
      <c r="I14" s="230">
        <v>41.6</v>
      </c>
      <c r="J14" s="393"/>
    </row>
    <row r="15" spans="1:14" s="202" customFormat="1" ht="18.75" x14ac:dyDescent="0.3">
      <c r="A15" s="263">
        <v>4.1100000000000003</v>
      </c>
      <c r="B15" s="263">
        <v>4.7699999999999996</v>
      </c>
      <c r="C15" s="263">
        <v>19.5</v>
      </c>
      <c r="D15" s="263">
        <v>143.13</v>
      </c>
      <c r="E15" s="242" t="s">
        <v>711</v>
      </c>
      <c r="F15" s="242" t="s">
        <v>716</v>
      </c>
      <c r="G15" s="211" t="str">
        <f>IFERROR(VLOOKUP(F15,[2]Реестр!A:K,2,0),"")</f>
        <v/>
      </c>
      <c r="H15" s="206">
        <v>250</v>
      </c>
      <c r="I15" s="207">
        <v>50</v>
      </c>
      <c r="J15" s="394"/>
      <c r="N15" s="208"/>
    </row>
    <row r="16" spans="1:14" ht="18.75" x14ac:dyDescent="0.3">
      <c r="A16" s="263">
        <v>15.55</v>
      </c>
      <c r="B16" s="263">
        <v>15.4</v>
      </c>
      <c r="C16" s="263">
        <v>57.1</v>
      </c>
      <c r="D16" s="263">
        <v>364.2</v>
      </c>
      <c r="E16" s="242" t="s">
        <v>712</v>
      </c>
      <c r="F16" s="242" t="s">
        <v>713</v>
      </c>
      <c r="G16" s="211" t="str">
        <f>IFERROR(VLOOKUP(F16,[2]Реестр!A:K,2,0),"")</f>
        <v/>
      </c>
      <c r="H16" s="206">
        <v>200</v>
      </c>
      <c r="I16" s="206">
        <v>112.67</v>
      </c>
      <c r="J16" s="126"/>
    </row>
    <row r="17" spans="1:14" ht="18.75" x14ac:dyDescent="0.3">
      <c r="A17" s="263">
        <v>0.18</v>
      </c>
      <c r="B17" s="263">
        <v>0.05</v>
      </c>
      <c r="C17" s="263">
        <v>0.32</v>
      </c>
      <c r="D17" s="263">
        <v>37.582527999999996</v>
      </c>
      <c r="E17" s="242" t="s">
        <v>714</v>
      </c>
      <c r="F17" s="242" t="s">
        <v>328</v>
      </c>
      <c r="G17" s="211">
        <f>IFERROR(VLOOKUP(F17,[2]Реестр!A:K,2,0),"")</f>
        <v>200</v>
      </c>
      <c r="H17" s="206">
        <v>200</v>
      </c>
      <c r="I17" s="207">
        <v>12.8</v>
      </c>
      <c r="J17" s="126"/>
    </row>
    <row r="18" spans="1:14" ht="18.75" x14ac:dyDescent="0.3">
      <c r="A18" s="264">
        <v>3.3</v>
      </c>
      <c r="B18" s="264">
        <v>0.3</v>
      </c>
      <c r="C18" s="264">
        <v>23.4</v>
      </c>
      <c r="D18" s="264">
        <v>112</v>
      </c>
      <c r="E18" s="242" t="s">
        <v>471</v>
      </c>
      <c r="F18" s="242" t="s">
        <v>715</v>
      </c>
      <c r="G18" s="211" t="str">
        <f>IFERROR(VLOOKUP(F18,[2]Реестр!A:K,2,0),"")</f>
        <v/>
      </c>
      <c r="H18" s="206">
        <v>40</v>
      </c>
      <c r="I18" s="207">
        <v>3.6</v>
      </c>
      <c r="J18" s="126"/>
    </row>
    <row r="19" spans="1:14" ht="21" customHeight="1" x14ac:dyDescent="0.3">
      <c r="A19" s="241">
        <v>2</v>
      </c>
      <c r="B19" s="241">
        <v>0.4</v>
      </c>
      <c r="C19" s="241">
        <v>10</v>
      </c>
      <c r="D19" s="241">
        <v>58</v>
      </c>
      <c r="E19" s="381" t="s">
        <v>471</v>
      </c>
      <c r="F19" s="381" t="s">
        <v>707</v>
      </c>
      <c r="G19" s="211" t="str">
        <f>IFERROR(VLOOKUP(F19,[2]Реестр!A:K,2,0),"")</f>
        <v/>
      </c>
      <c r="H19" s="206">
        <v>40</v>
      </c>
      <c r="I19" s="207">
        <v>3.6</v>
      </c>
      <c r="J19" s="126"/>
    </row>
    <row r="20" spans="1:14" ht="21" hidden="1" customHeight="1" x14ac:dyDescent="0.3">
      <c r="A20" s="264"/>
      <c r="B20" s="264"/>
      <c r="C20" s="264"/>
      <c r="D20" s="264"/>
      <c r="E20" s="95"/>
      <c r="F20" s="122"/>
      <c r="G20" s="97">
        <v>40</v>
      </c>
      <c r="H20" s="97"/>
      <c r="I20" s="96"/>
      <c r="J20" s="126"/>
    </row>
    <row r="21" spans="1:14" ht="21" customHeight="1" x14ac:dyDescent="0.3">
      <c r="A21" s="429" t="s">
        <v>16</v>
      </c>
      <c r="B21" s="429"/>
      <c r="C21" s="429"/>
      <c r="D21" s="429"/>
      <c r="E21" s="429"/>
      <c r="F21" s="429"/>
      <c r="G21" s="97"/>
      <c r="H21" s="96"/>
      <c r="I21" s="96">
        <f>SUBTOTAL(9,I14:I20)</f>
        <v>224.26999999999998</v>
      </c>
      <c r="J21" s="126"/>
      <c r="K21" s="127">
        <v>162.94999999999999</v>
      </c>
      <c r="L21" s="127">
        <f>K21-I21</f>
        <v>-61.319999999999993</v>
      </c>
      <c r="M21" s="127"/>
    </row>
    <row r="22" spans="1:14" ht="18.75" x14ac:dyDescent="0.25">
      <c r="A22" s="433" t="s">
        <v>43</v>
      </c>
      <c r="B22" s="434"/>
      <c r="C22" s="434"/>
      <c r="D22" s="434"/>
      <c r="E22" s="434"/>
      <c r="F22" s="434"/>
      <c r="G22" s="434"/>
      <c r="H22" s="435"/>
      <c r="I22" s="126"/>
      <c r="J22" s="126"/>
    </row>
    <row r="23" spans="1:14" ht="34.5" customHeight="1" x14ac:dyDescent="0.3">
      <c r="A23" s="263">
        <v>4.9800000000000004</v>
      </c>
      <c r="B23" s="263">
        <v>6.4</v>
      </c>
      <c r="C23" s="263">
        <v>10.28</v>
      </c>
      <c r="D23" s="263">
        <v>166.36</v>
      </c>
      <c r="E23" s="384" t="s">
        <v>721</v>
      </c>
      <c r="F23" s="385" t="s">
        <v>725</v>
      </c>
      <c r="G23" s="211" t="str">
        <f>IFERROR(VLOOKUP(F23,[1]Реестр!A:K,2,0),"")</f>
        <v/>
      </c>
      <c r="H23" s="206">
        <v>50</v>
      </c>
      <c r="I23" s="207">
        <v>57.18</v>
      </c>
      <c r="J23" s="126"/>
    </row>
    <row r="24" spans="1:14" ht="21" customHeight="1" x14ac:dyDescent="0.3">
      <c r="A24" s="348">
        <v>14.36</v>
      </c>
      <c r="B24" s="348">
        <v>10.5</v>
      </c>
      <c r="C24" s="348">
        <v>50.3</v>
      </c>
      <c r="D24" s="348">
        <v>326.39999999999998</v>
      </c>
      <c r="E24" s="242" t="s">
        <v>723</v>
      </c>
      <c r="F24" s="242" t="s">
        <v>665</v>
      </c>
      <c r="G24" s="211" t="str">
        <f>IFERROR(VLOOKUP(F24,[1]Реестр!A:K,2,0),"")</f>
        <v/>
      </c>
      <c r="H24" s="210">
        <v>250</v>
      </c>
      <c r="I24" s="207">
        <v>61.17</v>
      </c>
      <c r="J24" s="126"/>
    </row>
    <row r="25" spans="1:14" ht="18.75" x14ac:dyDescent="0.3">
      <c r="A25" s="263">
        <v>3.58</v>
      </c>
      <c r="B25" s="263">
        <v>5.8</v>
      </c>
      <c r="C25" s="263">
        <v>1.3</v>
      </c>
      <c r="D25" s="263">
        <v>36.200000000000003</v>
      </c>
      <c r="E25" s="242" t="s">
        <v>719</v>
      </c>
      <c r="F25" s="386" t="s">
        <v>720</v>
      </c>
      <c r="G25" s="211" t="str">
        <f>IFERROR(VLOOKUP(F25,[1]Реестр!A:K,2,0),"")</f>
        <v/>
      </c>
      <c r="H25" s="210">
        <v>40</v>
      </c>
      <c r="I25" s="207">
        <v>32.79</v>
      </c>
      <c r="J25" s="126"/>
    </row>
    <row r="26" spans="1:14" ht="18.75" x14ac:dyDescent="0.3">
      <c r="A26" s="264">
        <v>2.64</v>
      </c>
      <c r="B26" s="264">
        <v>0.48</v>
      </c>
      <c r="C26" s="264">
        <v>16.68</v>
      </c>
      <c r="D26" s="264">
        <v>77.352000000000004</v>
      </c>
      <c r="E26" s="242" t="s">
        <v>724</v>
      </c>
      <c r="F26" s="387" t="s">
        <v>357</v>
      </c>
      <c r="G26" s="211" t="str">
        <f>IFERROR(VLOOKUP(F26,[1]Реестр!A:K,2,0),"")</f>
        <v>200</v>
      </c>
      <c r="H26" s="206">
        <v>200</v>
      </c>
      <c r="I26" s="207">
        <v>22.2</v>
      </c>
      <c r="J26" s="126"/>
      <c r="N26" s="127"/>
    </row>
    <row r="27" spans="1:14" ht="24" customHeight="1" x14ac:dyDescent="0.3">
      <c r="A27" s="264">
        <v>2.64</v>
      </c>
      <c r="B27" s="264">
        <v>0.48</v>
      </c>
      <c r="C27" s="264">
        <v>16.68</v>
      </c>
      <c r="D27" s="264">
        <v>77.352000000000004</v>
      </c>
      <c r="E27" s="381" t="s">
        <v>471</v>
      </c>
      <c r="F27" s="381" t="s">
        <v>707</v>
      </c>
      <c r="G27" s="211" t="str">
        <f>IFERROR(VLOOKUP(F27,[1]Реестр!A:K,2,0),"")</f>
        <v/>
      </c>
      <c r="H27" s="206">
        <v>40</v>
      </c>
      <c r="I27" s="207">
        <v>3.6</v>
      </c>
      <c r="J27" s="126"/>
    </row>
    <row r="28" spans="1:14" ht="15.75" hidden="1" customHeight="1" x14ac:dyDescent="0.3">
      <c r="A28" s="104"/>
      <c r="B28" s="104"/>
      <c r="C28" s="104"/>
      <c r="D28" s="104"/>
      <c r="E28" s="95"/>
      <c r="F28" s="122"/>
      <c r="G28" s="94"/>
      <c r="H28" s="97"/>
      <c r="I28" s="96"/>
      <c r="J28" s="126"/>
    </row>
    <row r="29" spans="1:14" ht="15.75" hidden="1" customHeight="1" x14ac:dyDescent="0.3">
      <c r="A29" s="101"/>
      <c r="B29" s="101"/>
      <c r="C29" s="101"/>
      <c r="D29" s="101"/>
      <c r="E29" s="95"/>
      <c r="F29" s="94"/>
      <c r="G29" s="94"/>
      <c r="H29" s="97"/>
      <c r="I29" s="96"/>
      <c r="J29" s="126"/>
    </row>
    <row r="30" spans="1:14" ht="18.75" x14ac:dyDescent="0.3">
      <c r="A30" s="429" t="s">
        <v>16</v>
      </c>
      <c r="B30" s="429"/>
      <c r="C30" s="429"/>
      <c r="D30" s="429"/>
      <c r="E30" s="429"/>
      <c r="F30" s="429"/>
      <c r="G30" s="97"/>
      <c r="H30" s="96"/>
      <c r="I30" s="96">
        <f>SUBTOTAL(9,I23:I29)</f>
        <v>176.93999999999997</v>
      </c>
      <c r="J30" s="126"/>
      <c r="K30" s="125">
        <v>176.94</v>
      </c>
      <c r="L30" s="127">
        <f>K30-I30</f>
        <v>0</v>
      </c>
    </row>
    <row r="31" spans="1:14" ht="18.75" x14ac:dyDescent="0.25">
      <c r="A31" s="433" t="s">
        <v>44</v>
      </c>
      <c r="B31" s="434"/>
      <c r="C31" s="434"/>
      <c r="D31" s="434"/>
      <c r="E31" s="434"/>
      <c r="F31" s="434"/>
      <c r="G31" s="434"/>
      <c r="H31" s="435"/>
      <c r="I31" s="126"/>
      <c r="J31" s="126"/>
    </row>
    <row r="32" spans="1:14" ht="30" x14ac:dyDescent="0.25">
      <c r="A32" s="383">
        <v>2.2999999999999998</v>
      </c>
      <c r="B32" s="383">
        <v>6.01</v>
      </c>
      <c r="C32" s="383">
        <v>4.01</v>
      </c>
      <c r="D32" s="383">
        <v>72.147796</v>
      </c>
      <c r="E32" s="242" t="s">
        <v>709</v>
      </c>
      <c r="F32" s="242" t="s">
        <v>710</v>
      </c>
      <c r="G32" s="211" t="str">
        <f>IFERROR(VLOOKUP(F32,[2]Реестр!A:K,2,0),"")</f>
        <v/>
      </c>
      <c r="H32" s="210">
        <v>100</v>
      </c>
      <c r="I32" s="230">
        <v>52.76</v>
      </c>
      <c r="J32" s="126"/>
      <c r="L32" s="127"/>
      <c r="N32" s="127">
        <f>M32-I39</f>
        <v>-265.39999999999998</v>
      </c>
    </row>
    <row r="33" spans="1:12" ht="18.75" x14ac:dyDescent="0.3">
      <c r="A33" s="263">
        <v>4.1100000000000003</v>
      </c>
      <c r="B33" s="263">
        <v>4.7699999999999996</v>
      </c>
      <c r="C33" s="263">
        <v>26.5</v>
      </c>
      <c r="D33" s="263">
        <v>213.5</v>
      </c>
      <c r="E33" s="242" t="s">
        <v>711</v>
      </c>
      <c r="F33" s="242" t="s">
        <v>716</v>
      </c>
      <c r="G33" s="211" t="str">
        <f>IFERROR(VLOOKUP(F33,[2]Реестр!A:K,2,0),"")</f>
        <v/>
      </c>
      <c r="H33" s="206">
        <v>250</v>
      </c>
      <c r="I33" s="207">
        <v>50</v>
      </c>
      <c r="J33" s="126"/>
    </row>
    <row r="34" spans="1:12" ht="18.75" x14ac:dyDescent="0.3">
      <c r="A34" s="348">
        <v>17.5</v>
      </c>
      <c r="B34" s="348">
        <v>15.6</v>
      </c>
      <c r="C34" s="348">
        <v>42.3</v>
      </c>
      <c r="D34" s="348">
        <v>265.7</v>
      </c>
      <c r="E34" s="242" t="s">
        <v>712</v>
      </c>
      <c r="F34" s="242" t="s">
        <v>713</v>
      </c>
      <c r="G34" s="211" t="str">
        <f>IFERROR(VLOOKUP(F34,[2]Реестр!A:K,2,0),"")</f>
        <v/>
      </c>
      <c r="H34" s="206">
        <v>250</v>
      </c>
      <c r="I34" s="206">
        <v>140.84</v>
      </c>
      <c r="J34" s="126"/>
    </row>
    <row r="35" spans="1:12" ht="18.75" x14ac:dyDescent="0.3">
      <c r="A35" s="263">
        <v>3.94</v>
      </c>
      <c r="B35" s="263">
        <v>5.1100000000000003</v>
      </c>
      <c r="C35" s="263">
        <v>27.5</v>
      </c>
      <c r="D35" s="263">
        <v>170.19544859999999</v>
      </c>
      <c r="E35" s="242" t="s">
        <v>714</v>
      </c>
      <c r="F35" s="386" t="s">
        <v>328</v>
      </c>
      <c r="G35" s="211">
        <f>IFERROR(VLOOKUP(F35,[2]Реестр!A:K,2,0),"")</f>
        <v>200</v>
      </c>
      <c r="H35" s="206">
        <v>200</v>
      </c>
      <c r="I35" s="207">
        <v>12.8</v>
      </c>
      <c r="J35" s="394"/>
    </row>
    <row r="36" spans="1:12" ht="18.75" x14ac:dyDescent="0.3">
      <c r="A36" s="264">
        <v>0.14000000000000001</v>
      </c>
      <c r="B36" s="264">
        <v>0.1</v>
      </c>
      <c r="C36" s="264">
        <v>1.5</v>
      </c>
      <c r="D36" s="264">
        <v>83.962620000000015</v>
      </c>
      <c r="E36" s="242" t="s">
        <v>471</v>
      </c>
      <c r="F36" s="242" t="s">
        <v>715</v>
      </c>
      <c r="G36" s="211" t="str">
        <f>IFERROR(VLOOKUP(F36,[2]Реестр!A:K,2,0),"")</f>
        <v/>
      </c>
      <c r="H36" s="206">
        <v>50</v>
      </c>
      <c r="I36" s="207">
        <v>4.5</v>
      </c>
      <c r="J36" s="394"/>
    </row>
    <row r="37" spans="1:12" ht="18.75" x14ac:dyDescent="0.3">
      <c r="A37" s="264">
        <v>3.3</v>
      </c>
      <c r="B37" s="264">
        <v>0.3</v>
      </c>
      <c r="C37" s="264">
        <v>23.4</v>
      </c>
      <c r="D37" s="264">
        <v>112</v>
      </c>
      <c r="E37" s="381" t="s">
        <v>471</v>
      </c>
      <c r="F37" s="381" t="s">
        <v>707</v>
      </c>
      <c r="G37" s="211" t="str">
        <f>IFERROR(VLOOKUP(F37,[2]Реестр!A:K,2,0),"")</f>
        <v/>
      </c>
      <c r="H37" s="206">
        <v>50</v>
      </c>
      <c r="I37" s="207">
        <v>4.5</v>
      </c>
      <c r="J37" s="394"/>
    </row>
    <row r="38" spans="1:12" ht="18.75" hidden="1" x14ac:dyDescent="0.3">
      <c r="A38" s="264"/>
      <c r="B38" s="264"/>
      <c r="C38" s="264"/>
      <c r="D38" s="264"/>
      <c r="E38" s="95"/>
      <c r="F38" s="122"/>
      <c r="G38" s="94" t="str">
        <f>IFERROR(VLOOKUP(F38,Реестр!A:K,2,0),"")</f>
        <v/>
      </c>
      <c r="H38" s="97"/>
      <c r="I38" s="96"/>
      <c r="J38" s="352"/>
    </row>
    <row r="39" spans="1:12" ht="18.75" x14ac:dyDescent="0.3">
      <c r="A39" s="429" t="s">
        <v>16</v>
      </c>
      <c r="B39" s="429"/>
      <c r="C39" s="429"/>
      <c r="D39" s="429"/>
      <c r="E39" s="429"/>
      <c r="F39" s="429"/>
      <c r="G39" s="97"/>
      <c r="H39" s="96"/>
      <c r="I39" s="96">
        <f>SUBTOTAL(9,I32:I38)</f>
        <v>265.39999999999998</v>
      </c>
      <c r="J39" s="394"/>
      <c r="L39" s="127">
        <f>K38-I39</f>
        <v>-265.39999999999998</v>
      </c>
    </row>
    <row r="40" spans="1:12" ht="18.75" x14ac:dyDescent="0.3">
      <c r="A40" s="430" t="s">
        <v>45</v>
      </c>
      <c r="B40" s="431"/>
      <c r="C40" s="431"/>
      <c r="D40" s="431"/>
      <c r="E40" s="431"/>
      <c r="F40" s="431"/>
      <c r="G40" s="431"/>
      <c r="H40" s="432"/>
      <c r="I40" s="126"/>
      <c r="J40" s="393"/>
    </row>
    <row r="41" spans="1:12" ht="18.75" x14ac:dyDescent="0.3">
      <c r="A41" s="433" t="s">
        <v>19</v>
      </c>
      <c r="B41" s="434"/>
      <c r="C41" s="434"/>
      <c r="D41" s="434"/>
      <c r="E41" s="434"/>
      <c r="F41" s="434"/>
      <c r="G41" s="434"/>
      <c r="H41" s="435"/>
      <c r="I41" s="126"/>
      <c r="J41" s="393"/>
    </row>
    <row r="42" spans="1:12" ht="30" x14ac:dyDescent="0.3">
      <c r="A42" s="263">
        <v>4.9800000000000004</v>
      </c>
      <c r="B42" s="263">
        <v>6.4</v>
      </c>
      <c r="C42" s="263">
        <v>10.28</v>
      </c>
      <c r="D42" s="263">
        <v>166.36</v>
      </c>
      <c r="E42" s="384" t="s">
        <v>721</v>
      </c>
      <c r="F42" s="385" t="s">
        <v>725</v>
      </c>
      <c r="G42" s="211" t="str">
        <f>IFERROR(VLOOKUP(F42,[1]Реестр!A:K,2,0),"")</f>
        <v/>
      </c>
      <c r="H42" s="206">
        <v>50</v>
      </c>
      <c r="I42" s="207">
        <v>57.18</v>
      </c>
      <c r="J42" s="393" t="s">
        <v>20</v>
      </c>
    </row>
    <row r="43" spans="1:12" ht="18.75" x14ac:dyDescent="0.3">
      <c r="A43" s="348">
        <v>14.36</v>
      </c>
      <c r="B43" s="348">
        <v>10.5</v>
      </c>
      <c r="C43" s="348">
        <v>50.3</v>
      </c>
      <c r="D43" s="348">
        <v>326.39999999999998</v>
      </c>
      <c r="E43" s="242" t="s">
        <v>723</v>
      </c>
      <c r="F43" s="242" t="s">
        <v>665</v>
      </c>
      <c r="G43" s="211" t="str">
        <f>IFERROR(VLOOKUP(F43,[1]Реестр!A:K,2,0),"")</f>
        <v/>
      </c>
      <c r="H43" s="210">
        <v>250</v>
      </c>
      <c r="I43" s="207">
        <v>61.17</v>
      </c>
      <c r="J43" s="393" t="s">
        <v>537</v>
      </c>
    </row>
    <row r="44" spans="1:12" ht="18.75" x14ac:dyDescent="0.3">
      <c r="A44" s="263">
        <v>3.58</v>
      </c>
      <c r="B44" s="263">
        <v>5.8</v>
      </c>
      <c r="C44" s="263">
        <v>1.3</v>
      </c>
      <c r="D44" s="263">
        <v>36.200000000000003</v>
      </c>
      <c r="E44" s="242" t="s">
        <v>719</v>
      </c>
      <c r="F44" s="386" t="s">
        <v>720</v>
      </c>
      <c r="G44" s="211" t="str">
        <f>IFERROR(VLOOKUP(F44,[1]Реестр!A:K,2,0),"")</f>
        <v/>
      </c>
      <c r="H44" s="210">
        <v>40</v>
      </c>
      <c r="I44" s="207">
        <v>32.79</v>
      </c>
      <c r="J44" s="393" t="s">
        <v>477</v>
      </c>
    </row>
    <row r="45" spans="1:12" ht="18.75" x14ac:dyDescent="0.3">
      <c r="A45" s="264">
        <v>2.64</v>
      </c>
      <c r="B45" s="264">
        <v>0.48</v>
      </c>
      <c r="C45" s="264">
        <v>16.68</v>
      </c>
      <c r="D45" s="264">
        <v>77.352000000000004</v>
      </c>
      <c r="E45" s="242" t="s">
        <v>724</v>
      </c>
      <c r="F45" s="387" t="s">
        <v>357</v>
      </c>
      <c r="G45" s="211" t="str">
        <f>IFERROR(VLOOKUP(F45,[1]Реестр!A:K,2,0),"")</f>
        <v>200</v>
      </c>
      <c r="H45" s="206">
        <v>200</v>
      </c>
      <c r="I45" s="207">
        <v>22.2</v>
      </c>
      <c r="J45" s="101" t="s">
        <v>479</v>
      </c>
    </row>
    <row r="46" spans="1:12" ht="18.75" x14ac:dyDescent="0.3">
      <c r="A46" s="264">
        <v>2.64</v>
      </c>
      <c r="B46" s="264">
        <v>0.48</v>
      </c>
      <c r="C46" s="264">
        <v>16.68</v>
      </c>
      <c r="D46" s="264">
        <v>77.352000000000004</v>
      </c>
      <c r="E46" s="381" t="s">
        <v>471</v>
      </c>
      <c r="F46" s="381" t="s">
        <v>707</v>
      </c>
      <c r="G46" s="211" t="str">
        <f>IFERROR(VLOOKUP(F46,[1]Реестр!A:K,2,0),"")</f>
        <v/>
      </c>
      <c r="H46" s="206">
        <v>40</v>
      </c>
      <c r="I46" s="207">
        <v>3.6</v>
      </c>
      <c r="J46" s="393" t="s">
        <v>23</v>
      </c>
    </row>
    <row r="47" spans="1:12" ht="18.75" hidden="1" x14ac:dyDescent="0.3">
      <c r="A47" s="104" t="str">
        <f>IFERROR(VLOOKUP(F47,Реестр!A:K,3,0)*H47/G47,"")</f>
        <v/>
      </c>
      <c r="B47" s="104" t="str">
        <f>IFERROR(VLOOKUP(F47,Реестр!A:K,4,0)*H47/G47,"")</f>
        <v/>
      </c>
      <c r="C47" s="104" t="str">
        <f>IFERROR(VLOOKUP(F47,Реестр!A:K,5,0)*H47/G47,"")</f>
        <v/>
      </c>
      <c r="D47" s="104" t="str">
        <f>IFERROR(VLOOKUP(F47,Реестр!A:K,6,0)*H47/G47,"")</f>
        <v/>
      </c>
      <c r="E47" s="95" t="str">
        <f>IFERROR(VLOOKUP(F47,Реестр!A:K,11,0),"")</f>
        <v/>
      </c>
      <c r="F47" s="94"/>
      <c r="G47" s="94" t="str">
        <f>IFERROR(VLOOKUP(F47,Реестр!A:K,2,0),"")</f>
        <v/>
      </c>
      <c r="H47" s="97"/>
      <c r="I47" s="96"/>
      <c r="J47" s="141" t="s">
        <v>24</v>
      </c>
    </row>
    <row r="48" spans="1:12" ht="18.75" hidden="1" x14ac:dyDescent="0.3">
      <c r="A48" s="104"/>
      <c r="B48" s="104"/>
      <c r="C48" s="104"/>
      <c r="D48" s="104"/>
      <c r="E48" s="95"/>
      <c r="F48" s="94"/>
      <c r="G48" s="94"/>
      <c r="H48" s="97"/>
      <c r="I48" s="96"/>
      <c r="J48" s="141" t="s">
        <v>476</v>
      </c>
    </row>
    <row r="49" spans="1:14" ht="18.75" hidden="1" x14ac:dyDescent="0.3">
      <c r="A49" s="104" t="str">
        <f>IFERROR(VLOOKUP(F49,Реестр!A:K,3,0)*H49/G49,"")</f>
        <v/>
      </c>
      <c r="B49" s="104" t="str">
        <f>IFERROR(VLOOKUP(F49,Реестр!A:K,4,0)*H49/G49,"")</f>
        <v/>
      </c>
      <c r="C49" s="104" t="str">
        <f>IFERROR(VLOOKUP(F49,Реестр!A:K,5,0)*H49/G49,"")</f>
        <v/>
      </c>
      <c r="D49" s="104" t="str">
        <f>IFERROR(VLOOKUP(F49,Реестр!A:K,6,0)*H49/G49,"")</f>
        <v/>
      </c>
      <c r="E49" s="95" t="str">
        <f>IFERROR(VLOOKUP(F49,Реестр!A:K,11,0),"")</f>
        <v/>
      </c>
      <c r="F49" s="122"/>
      <c r="G49" s="94" t="str">
        <f>IFERROR(VLOOKUP(F49,Реестр!A:K,2,0),"")</f>
        <v/>
      </c>
      <c r="H49" s="97"/>
      <c r="I49" s="126"/>
      <c r="J49" s="141" t="s">
        <v>475</v>
      </c>
    </row>
    <row r="50" spans="1:14" ht="18.75" x14ac:dyDescent="0.3">
      <c r="A50" s="430" t="s">
        <v>25</v>
      </c>
      <c r="B50" s="431"/>
      <c r="C50" s="431"/>
      <c r="D50" s="431"/>
      <c r="E50" s="431"/>
      <c r="F50" s="431"/>
      <c r="G50" s="431"/>
      <c r="H50" s="432"/>
      <c r="I50" s="96"/>
      <c r="J50" s="393"/>
    </row>
    <row r="51" spans="1:14" ht="30" x14ac:dyDescent="0.3">
      <c r="A51" s="383">
        <v>2.2999999999999998</v>
      </c>
      <c r="B51" s="383">
        <v>6.01</v>
      </c>
      <c r="C51" s="383">
        <v>4.01</v>
      </c>
      <c r="D51" s="383">
        <v>72.147796</v>
      </c>
      <c r="E51" s="242" t="s">
        <v>709</v>
      </c>
      <c r="F51" s="242" t="s">
        <v>710</v>
      </c>
      <c r="G51" s="211" t="str">
        <f>IFERROR(VLOOKUP(F51,[2]Реестр!A:K,2,0),"")</f>
        <v/>
      </c>
      <c r="H51" s="210">
        <v>100</v>
      </c>
      <c r="I51" s="230">
        <v>52.76</v>
      </c>
      <c r="J51" s="393" t="s">
        <v>542</v>
      </c>
    </row>
    <row r="52" spans="1:14" ht="18.75" x14ac:dyDescent="0.3">
      <c r="A52" s="263">
        <v>4.1100000000000003</v>
      </c>
      <c r="B52" s="263">
        <v>4.7699999999999996</v>
      </c>
      <c r="C52" s="263">
        <v>26.5</v>
      </c>
      <c r="D52" s="263">
        <v>213.5</v>
      </c>
      <c r="E52" s="242" t="s">
        <v>711</v>
      </c>
      <c r="F52" s="242" t="s">
        <v>716</v>
      </c>
      <c r="G52" s="211" t="str">
        <f>IFERROR(VLOOKUP(F52,[2]Реестр!A:K,2,0),"")</f>
        <v/>
      </c>
      <c r="H52" s="206">
        <v>250</v>
      </c>
      <c r="I52" s="207">
        <v>50</v>
      </c>
      <c r="J52" s="393" t="s">
        <v>478</v>
      </c>
    </row>
    <row r="53" spans="1:14" ht="18.75" x14ac:dyDescent="0.3">
      <c r="A53" s="348">
        <v>17.5</v>
      </c>
      <c r="B53" s="348">
        <v>15.6</v>
      </c>
      <c r="C53" s="348">
        <v>42.3</v>
      </c>
      <c r="D53" s="348">
        <v>265.7</v>
      </c>
      <c r="E53" s="242" t="s">
        <v>712</v>
      </c>
      <c r="F53" s="242" t="s">
        <v>713</v>
      </c>
      <c r="G53" s="211" t="str">
        <f>IFERROR(VLOOKUP(F53,[2]Реестр!A:K,2,0),"")</f>
        <v/>
      </c>
      <c r="H53" s="206">
        <v>250</v>
      </c>
      <c r="I53" s="206">
        <v>140.84</v>
      </c>
      <c r="J53" s="393" t="s">
        <v>537</v>
      </c>
    </row>
    <row r="54" spans="1:14" ht="18.75" x14ac:dyDescent="0.3">
      <c r="A54" s="263">
        <v>3.94</v>
      </c>
      <c r="B54" s="263">
        <v>5.1100000000000003</v>
      </c>
      <c r="C54" s="263">
        <v>27.5</v>
      </c>
      <c r="D54" s="263">
        <v>170.19544859999999</v>
      </c>
      <c r="E54" s="242" t="s">
        <v>714</v>
      </c>
      <c r="F54" s="386" t="s">
        <v>328</v>
      </c>
      <c r="G54" s="211">
        <f>IFERROR(VLOOKUP(F54,[2]Реестр!A:K,2,0),"")</f>
        <v>200</v>
      </c>
      <c r="H54" s="206">
        <v>200</v>
      </c>
      <c r="I54" s="207">
        <v>12.8</v>
      </c>
      <c r="J54" s="393" t="s">
        <v>29</v>
      </c>
    </row>
    <row r="55" spans="1:14" ht="18.75" x14ac:dyDescent="0.3">
      <c r="A55" s="264">
        <v>0.14000000000000001</v>
      </c>
      <c r="B55" s="264">
        <v>0.1</v>
      </c>
      <c r="C55" s="264">
        <v>1.5</v>
      </c>
      <c r="D55" s="264">
        <v>83.962620000000015</v>
      </c>
      <c r="E55" s="242" t="s">
        <v>471</v>
      </c>
      <c r="F55" s="242" t="s">
        <v>715</v>
      </c>
      <c r="G55" s="211" t="str">
        <f>IFERROR(VLOOKUP(F55,[2]Реестр!A:K,2,0),"")</f>
        <v/>
      </c>
      <c r="H55" s="206">
        <v>50</v>
      </c>
      <c r="I55" s="207">
        <v>4.5</v>
      </c>
      <c r="J55" s="393" t="s">
        <v>479</v>
      </c>
      <c r="N55" s="127"/>
    </row>
    <row r="56" spans="1:14" ht="18.75" hidden="1" x14ac:dyDescent="0.3">
      <c r="A56" s="264">
        <v>3.3</v>
      </c>
      <c r="B56" s="264">
        <v>0.3</v>
      </c>
      <c r="C56" s="264">
        <v>23.4</v>
      </c>
      <c r="D56" s="264">
        <v>112</v>
      </c>
      <c r="E56" s="381" t="s">
        <v>471</v>
      </c>
      <c r="F56" s="381" t="s">
        <v>707</v>
      </c>
      <c r="G56" s="211" t="str">
        <f>IFERROR(VLOOKUP(F56,[2]Реестр!A:K,2,0),"")</f>
        <v/>
      </c>
      <c r="H56" s="206">
        <v>50</v>
      </c>
      <c r="I56" s="207">
        <v>4.5</v>
      </c>
      <c r="J56" s="354" t="s">
        <v>23</v>
      </c>
    </row>
    <row r="57" spans="1:14" ht="18.75" hidden="1" x14ac:dyDescent="0.3">
      <c r="A57" s="209"/>
      <c r="B57" s="209"/>
      <c r="C57" s="209"/>
      <c r="D57" s="209"/>
      <c r="E57" s="218"/>
      <c r="F57" s="217"/>
      <c r="G57" s="211"/>
      <c r="H57" s="206"/>
      <c r="I57" s="207"/>
      <c r="J57" s="394" t="s">
        <v>24</v>
      </c>
    </row>
    <row r="58" spans="1:14" ht="18.75" hidden="1" x14ac:dyDescent="0.3">
      <c r="A58" s="104" t="str">
        <f>IFERROR(VLOOKUP(F58,Реестр!A:K,3,0)*H58/G58,"")</f>
        <v/>
      </c>
      <c r="B58" s="104" t="str">
        <f>IFERROR(VLOOKUP(F58,Реестр!A:K,4,0)*H58/G58,"")</f>
        <v/>
      </c>
      <c r="C58" s="104" t="str">
        <f>IFERROR(VLOOKUP(F58,Реестр!A:K,5,0)*H58/G58,"")</f>
        <v/>
      </c>
      <c r="D58" s="104" t="str">
        <f>IFERROR(VLOOKUP(F58,Реестр!A:K,6,0)*H58/G58,"")</f>
        <v/>
      </c>
      <c r="E58" s="95" t="str">
        <f>IFERROR(VLOOKUP(F58,Реестр!A:K,11,0),"")</f>
        <v/>
      </c>
      <c r="F58" s="122"/>
      <c r="G58" s="94" t="str">
        <f>IFERROR(VLOOKUP(F58,Реестр!A:K,2,0),"")</f>
        <v/>
      </c>
      <c r="H58" s="97"/>
      <c r="I58" s="96"/>
      <c r="J58" s="141" t="s">
        <v>475</v>
      </c>
    </row>
    <row r="59" spans="1:14" ht="18.75" hidden="1" x14ac:dyDescent="0.3">
      <c r="A59" s="104"/>
      <c r="B59" s="104"/>
      <c r="C59" s="104"/>
      <c r="D59" s="104"/>
      <c r="E59" s="95"/>
      <c r="F59" s="122"/>
      <c r="G59" s="94"/>
      <c r="H59" s="97"/>
      <c r="I59" s="96"/>
      <c r="J59" s="141" t="s">
        <v>475</v>
      </c>
    </row>
    <row r="60" spans="1:14" ht="18.75" x14ac:dyDescent="0.3">
      <c r="A60" s="429" t="s">
        <v>16</v>
      </c>
      <c r="B60" s="429"/>
      <c r="C60" s="429"/>
      <c r="D60" s="429"/>
      <c r="E60" s="429"/>
      <c r="F60" s="429"/>
      <c r="G60" s="97"/>
      <c r="H60" s="96"/>
      <c r="I60" s="96">
        <f>SUM(I51:I59)+SUM(I42:I49)</f>
        <v>442.33999999999992</v>
      </c>
      <c r="J60" s="394"/>
      <c r="K60" s="125">
        <v>321.39999999999998</v>
      </c>
      <c r="L60" s="127">
        <f>K60-I60</f>
        <v>-120.93999999999994</v>
      </c>
    </row>
    <row r="61" spans="1:14" ht="18.75" x14ac:dyDescent="0.3">
      <c r="A61" s="430" t="s">
        <v>490</v>
      </c>
      <c r="B61" s="431"/>
      <c r="C61" s="431"/>
      <c r="D61" s="431"/>
      <c r="E61" s="431"/>
      <c r="F61" s="431"/>
      <c r="G61" s="431"/>
      <c r="H61" s="432"/>
      <c r="I61" s="126"/>
      <c r="J61" s="393"/>
    </row>
    <row r="62" spans="1:14" ht="18.75" x14ac:dyDescent="0.3">
      <c r="A62" s="433" t="s">
        <v>19</v>
      </c>
      <c r="B62" s="434"/>
      <c r="C62" s="434"/>
      <c r="D62" s="434"/>
      <c r="E62" s="434"/>
      <c r="F62" s="434"/>
      <c r="G62" s="434"/>
      <c r="H62" s="435"/>
      <c r="I62" s="126"/>
      <c r="J62" s="393"/>
    </row>
    <row r="63" spans="1:14" ht="30" x14ac:dyDescent="0.3">
      <c r="A63" s="243">
        <v>5.13</v>
      </c>
      <c r="B63" s="243">
        <v>6.15</v>
      </c>
      <c r="C63" s="243">
        <v>19.7</v>
      </c>
      <c r="D63" s="243">
        <v>213</v>
      </c>
      <c r="E63" s="242" t="s">
        <v>721</v>
      </c>
      <c r="F63" s="242" t="s">
        <v>722</v>
      </c>
      <c r="G63" s="211" t="str">
        <f>IFERROR(VLOOKUP(F63,[1]Реестр!A:K,2,0),"")</f>
        <v/>
      </c>
      <c r="H63" s="210">
        <v>40</v>
      </c>
      <c r="I63" s="207">
        <v>49.55</v>
      </c>
      <c r="J63" s="393" t="s">
        <v>20</v>
      </c>
    </row>
    <row r="64" spans="1:14" ht="18.75" x14ac:dyDescent="0.3">
      <c r="A64" s="264">
        <v>9.7799999999999994</v>
      </c>
      <c r="B64" s="264">
        <v>10.9</v>
      </c>
      <c r="C64" s="264">
        <v>31.2</v>
      </c>
      <c r="D64" s="264">
        <v>169.5</v>
      </c>
      <c r="E64" s="242" t="s">
        <v>723</v>
      </c>
      <c r="F64" s="242" t="s">
        <v>665</v>
      </c>
      <c r="G64" s="211" t="str">
        <f>IFERROR(VLOOKUP(F64,[1]Реестр!A:K,2,0),"")</f>
        <v/>
      </c>
      <c r="H64" s="210">
        <v>210</v>
      </c>
      <c r="I64" s="207">
        <v>51.38</v>
      </c>
      <c r="J64" s="393" t="s">
        <v>537</v>
      </c>
    </row>
    <row r="65" spans="1:14" ht="18.75" x14ac:dyDescent="0.3">
      <c r="A65" s="243">
        <v>0</v>
      </c>
      <c r="B65" s="243">
        <v>0</v>
      </c>
      <c r="C65" s="243">
        <v>1.2</v>
      </c>
      <c r="D65" s="243">
        <v>36.144007500000008</v>
      </c>
      <c r="E65" s="242" t="s">
        <v>719</v>
      </c>
      <c r="F65" s="242" t="s">
        <v>720</v>
      </c>
      <c r="G65" s="211" t="str">
        <f>IFERROR(VLOOKUP(F65,[1]Реестр!A:K,2,0),"")</f>
        <v/>
      </c>
      <c r="H65" s="210">
        <v>30</v>
      </c>
      <c r="I65" s="207">
        <v>24.59</v>
      </c>
      <c r="J65" s="393" t="s">
        <v>477</v>
      </c>
    </row>
    <row r="66" spans="1:14" ht="18.75" x14ac:dyDescent="0.3">
      <c r="A66" s="243">
        <v>3.64</v>
      </c>
      <c r="B66" s="243">
        <v>2.73</v>
      </c>
      <c r="C66" s="243">
        <v>24.19</v>
      </c>
      <c r="D66" s="243">
        <v>129.56904800000001</v>
      </c>
      <c r="E66" s="242" t="s">
        <v>724</v>
      </c>
      <c r="F66" s="242" t="s">
        <v>357</v>
      </c>
      <c r="G66" s="211" t="str">
        <f>IFERROR(VLOOKUP(F66,[1]Реестр!A:K,2,0),"")</f>
        <v>200</v>
      </c>
      <c r="H66" s="206">
        <v>200</v>
      </c>
      <c r="I66" s="207">
        <v>22.2</v>
      </c>
      <c r="J66" s="393" t="s">
        <v>479</v>
      </c>
    </row>
    <row r="67" spans="1:14" ht="18.75" x14ac:dyDescent="0.3">
      <c r="A67" s="264">
        <v>1.3</v>
      </c>
      <c r="B67" s="264">
        <v>0.2</v>
      </c>
      <c r="C67" s="264">
        <v>6.7</v>
      </c>
      <c r="D67" s="264">
        <v>39</v>
      </c>
      <c r="E67" s="381" t="s">
        <v>471</v>
      </c>
      <c r="F67" s="381" t="s">
        <v>707</v>
      </c>
      <c r="G67" s="211" t="str">
        <f>IFERROR(VLOOKUP(F67,[1]Реестр!A:K,2,0),"")</f>
        <v/>
      </c>
      <c r="H67" s="206">
        <v>20</v>
      </c>
      <c r="I67" s="207">
        <v>1.8</v>
      </c>
      <c r="J67" s="393" t="s">
        <v>23</v>
      </c>
    </row>
    <row r="68" spans="1:14" ht="18.75" hidden="1" x14ac:dyDescent="0.3">
      <c r="A68" s="104" t="str">
        <f>IFERROR(VLOOKUP(F68,Реестр!A:K,3,0)*H68/G68,"")</f>
        <v/>
      </c>
      <c r="B68" s="104" t="str">
        <f>IFERROR(VLOOKUP(F68,Реестр!A:K,4,0)*H68/G68,"")</f>
        <v/>
      </c>
      <c r="C68" s="104" t="str">
        <f>IFERROR(VLOOKUP(F68,Реестр!A:K,5,0)*H68/G68,"")</f>
        <v/>
      </c>
      <c r="D68" s="104" t="str">
        <f>IFERROR(VLOOKUP(F68,Реестр!A:K,6,0)*H68/G68,"")</f>
        <v/>
      </c>
      <c r="E68" s="95" t="str">
        <f>IFERROR(VLOOKUP(F68,Реестр!A:K,11,0),"")</f>
        <v/>
      </c>
      <c r="F68" s="94"/>
      <c r="G68" s="94" t="str">
        <f>IFERROR(VLOOKUP(F68,Реестр!A:K,2,0),"")</f>
        <v/>
      </c>
      <c r="H68" s="97"/>
      <c r="I68" s="96"/>
      <c r="J68" s="141" t="s">
        <v>24</v>
      </c>
    </row>
    <row r="69" spans="1:14" ht="18.75" hidden="1" x14ac:dyDescent="0.3">
      <c r="A69" s="104"/>
      <c r="B69" s="104"/>
      <c r="C69" s="104"/>
      <c r="D69" s="104"/>
      <c r="E69" s="95"/>
      <c r="F69" s="94"/>
      <c r="G69" s="94"/>
      <c r="H69" s="97"/>
      <c r="I69" s="96"/>
      <c r="J69" s="141" t="s">
        <v>476</v>
      </c>
    </row>
    <row r="70" spans="1:14" ht="18.75" hidden="1" x14ac:dyDescent="0.3">
      <c r="A70" s="104" t="str">
        <f>IFERROR(VLOOKUP(F70,Реестр!A:K,3,0)*H70/G70,"")</f>
        <v/>
      </c>
      <c r="B70" s="104" t="str">
        <f>IFERROR(VLOOKUP(F70,Реестр!A:K,4,0)*H70/G70,"")</f>
        <v/>
      </c>
      <c r="C70" s="104" t="str">
        <f>IFERROR(VLOOKUP(F70,Реестр!A:K,5,0)*H70/G70,"")</f>
        <v/>
      </c>
      <c r="D70" s="104" t="str">
        <f>IFERROR(VLOOKUP(F70,Реестр!A:K,6,0)*H70/G70,"")</f>
        <v/>
      </c>
      <c r="E70" s="95" t="str">
        <f>IFERROR(VLOOKUP(F70,Реестр!A:K,11,0),"")</f>
        <v/>
      </c>
      <c r="F70" s="94"/>
      <c r="G70" s="94" t="str">
        <f>IFERROR(VLOOKUP(F70,Реестр!A:K,2,0),"")</f>
        <v/>
      </c>
      <c r="H70" s="97"/>
      <c r="I70" s="96"/>
      <c r="J70" s="141" t="s">
        <v>475</v>
      </c>
    </row>
    <row r="71" spans="1:14" ht="18.75" x14ac:dyDescent="0.3">
      <c r="A71" s="430" t="s">
        <v>25</v>
      </c>
      <c r="B71" s="431"/>
      <c r="C71" s="431"/>
      <c r="D71" s="431"/>
      <c r="E71" s="431"/>
      <c r="F71" s="431"/>
      <c r="G71" s="431"/>
      <c r="H71" s="432"/>
      <c r="I71" s="96"/>
      <c r="J71" s="393"/>
    </row>
    <row r="72" spans="1:14" ht="30" x14ac:dyDescent="0.3">
      <c r="A72" s="383">
        <v>1.33</v>
      </c>
      <c r="B72" s="383">
        <v>5.12</v>
      </c>
      <c r="C72" s="383">
        <v>4.0999999999999996</v>
      </c>
      <c r="D72" s="383">
        <v>73.52</v>
      </c>
      <c r="E72" s="382" t="s">
        <v>709</v>
      </c>
      <c r="F72" s="242" t="s">
        <v>710</v>
      </c>
      <c r="G72" s="211" t="str">
        <f>IFERROR(VLOOKUP(F72,[2]Реестр!A:K,2,0),"")</f>
        <v/>
      </c>
      <c r="H72" s="210">
        <v>80</v>
      </c>
      <c r="I72" s="230">
        <v>41.6</v>
      </c>
      <c r="J72" s="393" t="s">
        <v>542</v>
      </c>
    </row>
    <row r="73" spans="1:14" ht="18.75" x14ac:dyDescent="0.3">
      <c r="A73" s="263">
        <v>4.1100000000000003</v>
      </c>
      <c r="B73" s="263">
        <v>4.7699999999999996</v>
      </c>
      <c r="C73" s="263">
        <v>19.5</v>
      </c>
      <c r="D73" s="263">
        <v>143.13</v>
      </c>
      <c r="E73" s="242" t="s">
        <v>711</v>
      </c>
      <c r="F73" s="242" t="s">
        <v>716</v>
      </c>
      <c r="G73" s="211" t="str">
        <f>IFERROR(VLOOKUP(F73,[2]Реестр!A:K,2,0),"")</f>
        <v/>
      </c>
      <c r="H73" s="206">
        <v>250</v>
      </c>
      <c r="I73" s="207">
        <v>50</v>
      </c>
      <c r="J73" s="393" t="s">
        <v>478</v>
      </c>
    </row>
    <row r="74" spans="1:14" ht="18.75" x14ac:dyDescent="0.3">
      <c r="A74" s="263">
        <v>15.55</v>
      </c>
      <c r="B74" s="263">
        <v>15.4</v>
      </c>
      <c r="C74" s="263">
        <v>57.1</v>
      </c>
      <c r="D74" s="263">
        <v>364.2</v>
      </c>
      <c r="E74" s="242" t="s">
        <v>712</v>
      </c>
      <c r="F74" s="242" t="s">
        <v>713</v>
      </c>
      <c r="G74" s="211" t="str">
        <f>IFERROR(VLOOKUP(F74,[2]Реестр!A:K,2,0),"")</f>
        <v/>
      </c>
      <c r="H74" s="206">
        <v>200</v>
      </c>
      <c r="I74" s="206">
        <v>112.67</v>
      </c>
      <c r="J74" s="393" t="s">
        <v>537</v>
      </c>
    </row>
    <row r="75" spans="1:14" ht="18.75" x14ac:dyDescent="0.3">
      <c r="A75" s="263">
        <v>0.18</v>
      </c>
      <c r="B75" s="263">
        <v>0.05</v>
      </c>
      <c r="C75" s="263">
        <v>0.32</v>
      </c>
      <c r="D75" s="263">
        <v>37.582527999999996</v>
      </c>
      <c r="E75" s="242" t="s">
        <v>714</v>
      </c>
      <c r="F75" s="242" t="s">
        <v>328</v>
      </c>
      <c r="G75" s="211">
        <f>IFERROR(VLOOKUP(F75,[2]Реестр!A:K,2,0),"")</f>
        <v>200</v>
      </c>
      <c r="H75" s="206">
        <v>200</v>
      </c>
      <c r="I75" s="207">
        <v>12.8</v>
      </c>
      <c r="J75" s="393" t="s">
        <v>29</v>
      </c>
    </row>
    <row r="76" spans="1:14" ht="18.75" x14ac:dyDescent="0.3">
      <c r="A76" s="264">
        <v>3.3</v>
      </c>
      <c r="B76" s="264">
        <v>0.3</v>
      </c>
      <c r="C76" s="264">
        <v>23.4</v>
      </c>
      <c r="D76" s="264">
        <v>112</v>
      </c>
      <c r="E76" s="242" t="s">
        <v>471</v>
      </c>
      <c r="F76" s="242" t="s">
        <v>715</v>
      </c>
      <c r="G76" s="211" t="str">
        <f>IFERROR(VLOOKUP(F76,[2]Реестр!A:K,2,0),"")</f>
        <v/>
      </c>
      <c r="H76" s="206">
        <v>40</v>
      </c>
      <c r="I76" s="207">
        <v>3.6</v>
      </c>
      <c r="J76" s="393" t="s">
        <v>479</v>
      </c>
    </row>
    <row r="77" spans="1:14" ht="18.75" x14ac:dyDescent="0.3">
      <c r="A77" s="241">
        <v>2</v>
      </c>
      <c r="B77" s="241">
        <v>0.4</v>
      </c>
      <c r="C77" s="241">
        <v>10</v>
      </c>
      <c r="D77" s="241">
        <v>58</v>
      </c>
      <c r="E77" s="381" t="s">
        <v>471</v>
      </c>
      <c r="F77" s="381" t="s">
        <v>707</v>
      </c>
      <c r="G77" s="211" t="str">
        <f>IFERROR(VLOOKUP(F77,[2]Реестр!A:K,2,0),"")</f>
        <v/>
      </c>
      <c r="H77" s="206">
        <v>40</v>
      </c>
      <c r="I77" s="207">
        <v>3.6</v>
      </c>
      <c r="J77" s="393" t="s">
        <v>23</v>
      </c>
      <c r="N77" s="127"/>
    </row>
    <row r="78" spans="1:14" ht="21" hidden="1" customHeight="1" x14ac:dyDescent="0.3">
      <c r="A78" s="209"/>
      <c r="B78" s="209"/>
      <c r="C78" s="209"/>
      <c r="D78" s="209"/>
      <c r="E78" s="218"/>
      <c r="F78" s="217"/>
      <c r="G78" s="211"/>
      <c r="H78" s="206"/>
      <c r="I78" s="207"/>
      <c r="J78" s="354" t="s">
        <v>24</v>
      </c>
    </row>
    <row r="79" spans="1:14" ht="18.75" hidden="1" x14ac:dyDescent="0.3">
      <c r="A79" s="104" t="str">
        <f>IFERROR(VLOOKUP(F79,Реестр!A:K,3,0)*H79/G79,"")</f>
        <v/>
      </c>
      <c r="B79" s="104" t="str">
        <f>IFERROR(VLOOKUP(F79,Реестр!A:K,4,0)*H79/G79,"")</f>
        <v/>
      </c>
      <c r="C79" s="104" t="str">
        <f>IFERROR(VLOOKUP(F79,Реестр!A:K,5,0)*H79/G79,"")</f>
        <v/>
      </c>
      <c r="D79" s="104" t="str">
        <f>IFERROR(VLOOKUP(F79,Реестр!A:K,6,0)*H79/G79,"")</f>
        <v/>
      </c>
      <c r="E79" s="95" t="str">
        <f>IFERROR(VLOOKUP(F79,Реестр!A:K,11,0),"")</f>
        <v/>
      </c>
      <c r="F79" s="122"/>
      <c r="G79" s="94" t="str">
        <f>IFERROR(VLOOKUP(F79,Реестр!A:K,2,0),"")</f>
        <v/>
      </c>
      <c r="H79" s="97"/>
      <c r="I79" s="96"/>
      <c r="J79" s="141" t="s">
        <v>475</v>
      </c>
    </row>
    <row r="80" spans="1:14" ht="18.75" hidden="1" x14ac:dyDescent="0.3">
      <c r="A80" s="104" t="str">
        <f>IFERROR(VLOOKUP(F80,Реестр!A:K,3,0)*H80/G80,"")</f>
        <v/>
      </c>
      <c r="B80" s="104" t="str">
        <f>IFERROR(VLOOKUP(F80,Реестр!A:K,4,0)*H80/G80,"")</f>
        <v/>
      </c>
      <c r="C80" s="104" t="str">
        <f>IFERROR(VLOOKUP(F80,Реестр!A:K,5,0)*H80/G80,"")</f>
        <v/>
      </c>
      <c r="D80" s="104" t="str">
        <f>IFERROR(VLOOKUP(F80,Реестр!A:K,6,0)*H80/G80,"")</f>
        <v/>
      </c>
      <c r="E80" s="95" t="str">
        <f>IFERROR(VLOOKUP(F80,Реестр!A:K,11,0),"")</f>
        <v/>
      </c>
      <c r="F80" s="122"/>
      <c r="G80" s="94" t="str">
        <f>IFERROR(VLOOKUP(F80,Реестр!A:K,2,0),"")</f>
        <v/>
      </c>
      <c r="H80" s="97"/>
      <c r="I80" s="96"/>
      <c r="J80" s="141" t="s">
        <v>475</v>
      </c>
    </row>
    <row r="81" spans="1:14" ht="18.75" x14ac:dyDescent="0.3">
      <c r="A81" s="429" t="s">
        <v>16</v>
      </c>
      <c r="B81" s="429"/>
      <c r="C81" s="429"/>
      <c r="D81" s="429"/>
      <c r="E81" s="429"/>
      <c r="F81" s="429"/>
      <c r="G81" s="97"/>
      <c r="H81" s="96"/>
      <c r="I81" s="96">
        <f>SUM(I72:I79)+SUM(I63:I70)</f>
        <v>373.78999999999996</v>
      </c>
      <c r="J81" s="126"/>
      <c r="K81" s="125">
        <v>271.58999999999997</v>
      </c>
      <c r="L81" s="127">
        <f>K81-I81</f>
        <v>-102.19999999999999</v>
      </c>
    </row>
    <row r="82" spans="1:14" ht="18.75" hidden="1" x14ac:dyDescent="0.25">
      <c r="A82" s="446"/>
      <c r="B82" s="446"/>
      <c r="C82" s="446"/>
      <c r="D82" s="446"/>
      <c r="E82" s="446"/>
      <c r="F82" s="446"/>
      <c r="G82" s="440"/>
      <c r="H82" s="446"/>
      <c r="I82" s="145"/>
      <c r="J82" s="126"/>
    </row>
    <row r="83" spans="1:14" ht="18.75" hidden="1" x14ac:dyDescent="0.3">
      <c r="A83" s="146"/>
      <c r="B83" s="146"/>
      <c r="C83" s="146"/>
      <c r="D83" s="146"/>
      <c r="E83" s="147"/>
      <c r="F83" s="138"/>
      <c r="G83" s="148" t="str">
        <f>IFERROR(VLOOKUP(F83,Реестр!A:K,2,0),"")</f>
        <v/>
      </c>
      <c r="H83" s="134"/>
      <c r="I83" s="137"/>
      <c r="J83" s="139"/>
      <c r="M83" s="125">
        <v>100</v>
      </c>
      <c r="N83" s="127"/>
    </row>
    <row r="84" spans="1:14" ht="18.75" hidden="1" x14ac:dyDescent="0.3">
      <c r="A84" s="445" t="s">
        <v>544</v>
      </c>
      <c r="B84" s="445"/>
      <c r="C84" s="445"/>
      <c r="D84" s="445"/>
      <c r="E84" s="445"/>
      <c r="F84" s="445"/>
      <c r="G84" s="445"/>
      <c r="H84" s="445"/>
      <c r="I84" s="445"/>
      <c r="J84" s="128"/>
      <c r="N84" s="127"/>
    </row>
    <row r="85" spans="1:14" ht="18.75" hidden="1" x14ac:dyDescent="0.3">
      <c r="A85" s="104">
        <v>5.08</v>
      </c>
      <c r="B85" s="104">
        <v>15.077300000000001</v>
      </c>
      <c r="C85" s="104">
        <v>9.9700000000000006</v>
      </c>
      <c r="D85" s="104">
        <v>195.89570000000001</v>
      </c>
      <c r="E85" s="95" t="s">
        <v>103</v>
      </c>
      <c r="F85" s="142" t="s">
        <v>91</v>
      </c>
      <c r="G85" s="95">
        <v>50</v>
      </c>
      <c r="H85" s="98">
        <v>45</v>
      </c>
      <c r="I85" s="447">
        <v>81.02</v>
      </c>
      <c r="J85" s="128"/>
      <c r="N85" s="127"/>
    </row>
    <row r="86" spans="1:14" ht="18.75" hidden="1" x14ac:dyDescent="0.25">
      <c r="A86" s="104">
        <f>IFERROR(VLOOKUP(F86,[3]Реестр!A:K,3,0)*H86/G86,"")</f>
        <v>6.3749999999999991</v>
      </c>
      <c r="B86" s="104">
        <f>IFERROR(VLOOKUP(F86,[3]Реестр!A:K,4,0)*H86/G86,"")</f>
        <v>5.7499999999999991</v>
      </c>
      <c r="C86" s="104">
        <f>IFERROR(VLOOKUP(F86,[3]Реестр!A:K,5,0)*H86/G86,"")</f>
        <v>0.375</v>
      </c>
      <c r="D86" s="104">
        <f>IFERROR(VLOOKUP(F86,[3]Реестр!A:K,6,0)*H86/G86,"")</f>
        <v>78.75</v>
      </c>
      <c r="E86" s="95" t="str">
        <f>IFERROR(VLOOKUP(F86,[3]Реестр!A:K,11,0),"")</f>
        <v>4*57</v>
      </c>
      <c r="F86" s="142" t="s">
        <v>162</v>
      </c>
      <c r="G86" s="94" t="str">
        <f>IFERROR(VLOOKUP(F86,[3]Реестр!A:K,2,0),"")</f>
        <v>40</v>
      </c>
      <c r="H86" s="129">
        <v>50</v>
      </c>
      <c r="I86" s="448"/>
      <c r="J86" s="128"/>
      <c r="N86" s="127"/>
    </row>
    <row r="87" spans="1:14" ht="18.75" hidden="1" x14ac:dyDescent="0.3">
      <c r="A87" s="104">
        <v>10.6</v>
      </c>
      <c r="B87" s="104">
        <v>13.2</v>
      </c>
      <c r="C87" s="104">
        <v>39.200000000000003</v>
      </c>
      <c r="D87" s="104">
        <v>317</v>
      </c>
      <c r="E87" s="95" t="str">
        <f>Реестр!K196</f>
        <v>13*53</v>
      </c>
      <c r="F87" s="142" t="s">
        <v>546</v>
      </c>
      <c r="G87" s="94" t="str">
        <f>IFERROR(VLOOKUP(F87,[3]Реестр!A:K,2,0),"")</f>
        <v/>
      </c>
      <c r="H87" s="98">
        <v>200</v>
      </c>
      <c r="I87" s="448"/>
      <c r="J87" s="128"/>
      <c r="N87" s="127"/>
    </row>
    <row r="88" spans="1:14" ht="18.75" hidden="1" x14ac:dyDescent="0.3">
      <c r="A88" s="104">
        <f>IFERROR(VLOOKUP(F88,[3]Реестр!A:K,3,0)*H88/G88,"")</f>
        <v>1.32</v>
      </c>
      <c r="B88" s="104">
        <f>IFERROR(VLOOKUP(F88,[3]Реестр!A:K,4,0)*H88/G88,"")</f>
        <v>0.24</v>
      </c>
      <c r="C88" s="104">
        <f>IFERROR(VLOOKUP(F88,[3]Реестр!A:K,5,0)*H88/G88,"")</f>
        <v>6.68</v>
      </c>
      <c r="D88" s="104">
        <f>IFERROR(VLOOKUP(F88,[3]Реестр!A:K,6,0)*H88/G88,"")</f>
        <v>38.6</v>
      </c>
      <c r="E88" s="95" t="str">
        <f>IFERROR(VLOOKUP(F88,[3]Реестр!A:K,11,0),"")</f>
        <v>-</v>
      </c>
      <c r="F88" s="122" t="s">
        <v>65</v>
      </c>
      <c r="G88" s="94" t="str">
        <f>IFERROR(VLOOKUP(F88,[3]Реестр!A:K,2,0),"")</f>
        <v>100</v>
      </c>
      <c r="H88" s="98">
        <v>20</v>
      </c>
      <c r="I88" s="449"/>
      <c r="J88" s="128"/>
      <c r="N88" s="127"/>
    </row>
    <row r="89" spans="1:14" ht="18.75" hidden="1" x14ac:dyDescent="0.3">
      <c r="A89" s="104"/>
      <c r="B89" s="104"/>
      <c r="C89" s="104"/>
      <c r="D89" s="104"/>
      <c r="E89" s="95"/>
      <c r="F89" s="122"/>
      <c r="G89" s="94"/>
      <c r="H89" s="98"/>
      <c r="I89" s="96"/>
      <c r="J89" s="128"/>
      <c r="N89" s="127"/>
    </row>
    <row r="90" spans="1:14" ht="18.75" hidden="1" x14ac:dyDescent="0.3">
      <c r="A90" s="104"/>
      <c r="B90" s="104"/>
      <c r="C90" s="104"/>
      <c r="D90" s="104"/>
      <c r="E90" s="95"/>
      <c r="F90" s="94"/>
      <c r="G90" s="94"/>
      <c r="H90" s="98"/>
      <c r="I90" s="96"/>
      <c r="J90" s="128"/>
      <c r="N90" s="127"/>
    </row>
    <row r="91" spans="1:14" ht="18.75" hidden="1" x14ac:dyDescent="0.3">
      <c r="A91" s="429" t="s">
        <v>16</v>
      </c>
      <c r="B91" s="429"/>
      <c r="C91" s="429"/>
      <c r="D91" s="429"/>
      <c r="E91" s="429"/>
      <c r="F91" s="429"/>
      <c r="G91" s="123"/>
      <c r="H91" s="97"/>
      <c r="I91" s="96">
        <f>SUM(I85:I90)</f>
        <v>81.02</v>
      </c>
      <c r="J91" s="128">
        <v>81.02</v>
      </c>
      <c r="L91" s="127">
        <f>J91-I91</f>
        <v>0</v>
      </c>
      <c r="N91" s="127"/>
    </row>
    <row r="92" spans="1:14" ht="18.75" x14ac:dyDescent="0.3">
      <c r="A92" s="445" t="s">
        <v>545</v>
      </c>
      <c r="B92" s="445"/>
      <c r="C92" s="445"/>
      <c r="D92" s="445"/>
      <c r="E92" s="445"/>
      <c r="F92" s="445"/>
      <c r="G92" s="445"/>
      <c r="H92" s="445"/>
      <c r="I92" s="445"/>
      <c r="J92" s="128"/>
      <c r="N92" s="127"/>
    </row>
    <row r="93" spans="1:14" ht="18.75" x14ac:dyDescent="0.25">
      <c r="A93" s="243">
        <v>6.35</v>
      </c>
      <c r="B93" s="243">
        <v>5.75</v>
      </c>
      <c r="C93" s="243">
        <v>0.35</v>
      </c>
      <c r="D93" s="243">
        <v>78.48</v>
      </c>
      <c r="E93" s="242" t="s">
        <v>726</v>
      </c>
      <c r="F93" s="242" t="s">
        <v>727</v>
      </c>
      <c r="G93" s="211" t="str">
        <f>IFERROR(VLOOKUP(F93,[1]Реестр!A:K,2,0),"")</f>
        <v/>
      </c>
      <c r="H93" s="143">
        <v>50</v>
      </c>
      <c r="I93" s="450">
        <v>149.52000000000001</v>
      </c>
      <c r="J93" s="128"/>
      <c r="N93" s="127"/>
    </row>
    <row r="94" spans="1:14" ht="30" x14ac:dyDescent="0.25">
      <c r="A94" s="243">
        <v>6.03</v>
      </c>
      <c r="B94" s="243">
        <v>12.83</v>
      </c>
      <c r="C94" s="243">
        <v>34.92</v>
      </c>
      <c r="D94" s="243">
        <v>275.69060599999995</v>
      </c>
      <c r="E94" s="242" t="s">
        <v>728</v>
      </c>
      <c r="F94" s="242" t="s">
        <v>668</v>
      </c>
      <c r="G94" s="211" t="str">
        <f>IFERROR(VLOOKUP(F94,[1]Реестр!A:K,2,0),"")</f>
        <v/>
      </c>
      <c r="H94" s="143">
        <v>200</v>
      </c>
      <c r="I94" s="451"/>
      <c r="J94" s="128"/>
      <c r="N94" s="127"/>
    </row>
    <row r="95" spans="1:14" ht="18.75" x14ac:dyDescent="0.25">
      <c r="A95" s="243">
        <v>0.19</v>
      </c>
      <c r="B95" s="243">
        <v>0.12</v>
      </c>
      <c r="C95" s="243">
        <v>12.27</v>
      </c>
      <c r="D95" s="243">
        <v>48.19</v>
      </c>
      <c r="E95" s="242" t="s">
        <v>719</v>
      </c>
      <c r="F95" s="242" t="s">
        <v>720</v>
      </c>
      <c r="G95" s="211" t="str">
        <f>IFERROR(VLOOKUP(F95,[1]Реестр!A:K,2,0),"")</f>
        <v/>
      </c>
      <c r="H95" s="143">
        <v>35</v>
      </c>
      <c r="I95" s="451"/>
      <c r="J95" s="128"/>
      <c r="N95" s="127"/>
    </row>
    <row r="96" spans="1:14" ht="30" x14ac:dyDescent="0.25">
      <c r="A96" s="243">
        <v>1.39</v>
      </c>
      <c r="B96" s="243">
        <v>1.1000000000000001</v>
      </c>
      <c r="C96" s="243">
        <v>16.649999999999999</v>
      </c>
      <c r="D96" s="243">
        <v>78.951669735999999</v>
      </c>
      <c r="E96" s="242" t="str">
        <f>"11/59 (2004 № 692)"</f>
        <v>11/59 (2004 № 692)</v>
      </c>
      <c r="F96" s="242" t="s">
        <v>729</v>
      </c>
      <c r="G96" s="211" t="str">
        <f>IFERROR(VLOOKUP(F96,[1]Реестр!A:K,2,0),"")</f>
        <v/>
      </c>
      <c r="H96" s="143" t="str">
        <f>"200"</f>
        <v>200</v>
      </c>
      <c r="I96" s="451"/>
      <c r="J96" s="128"/>
      <c r="N96" s="127"/>
    </row>
    <row r="97" spans="1:14" ht="18.75" x14ac:dyDescent="0.25">
      <c r="A97" s="243">
        <v>2.64</v>
      </c>
      <c r="B97" s="243">
        <v>0.48</v>
      </c>
      <c r="C97" s="243">
        <v>16.68</v>
      </c>
      <c r="D97" s="243">
        <v>77.352000000000004</v>
      </c>
      <c r="E97" s="242" t="s">
        <v>471</v>
      </c>
      <c r="F97" s="242" t="s">
        <v>715</v>
      </c>
      <c r="G97" s="211" t="str">
        <f>IFERROR(VLOOKUP(F97,[1]Реестр!A:K,2,0),"")</f>
        <v/>
      </c>
      <c r="H97" s="229" t="str">
        <f>"20"</f>
        <v>20</v>
      </c>
      <c r="I97" s="451"/>
      <c r="J97" s="128"/>
      <c r="N97" s="127"/>
    </row>
    <row r="98" spans="1:14" ht="18.75" x14ac:dyDescent="0.3">
      <c r="A98" s="264">
        <v>1.32</v>
      </c>
      <c r="B98" s="264">
        <v>0.24</v>
      </c>
      <c r="C98" s="264">
        <v>8.34</v>
      </c>
      <c r="D98" s="264">
        <v>38.676000000000002</v>
      </c>
      <c r="E98" s="381" t="s">
        <v>471</v>
      </c>
      <c r="F98" s="381" t="s">
        <v>707</v>
      </c>
      <c r="G98" s="211" t="str">
        <f>IFERROR(VLOOKUP(F98,[1]Реестр!A:K,2,0),"")</f>
        <v/>
      </c>
      <c r="H98" s="206">
        <v>20</v>
      </c>
      <c r="I98" s="452"/>
      <c r="J98" s="128"/>
      <c r="N98" s="127"/>
    </row>
    <row r="99" spans="1:14" ht="18.75" x14ac:dyDescent="0.3">
      <c r="A99" s="429" t="s">
        <v>16</v>
      </c>
      <c r="B99" s="429"/>
      <c r="C99" s="429"/>
      <c r="D99" s="429"/>
      <c r="E99" s="429"/>
      <c r="F99" s="429"/>
      <c r="G99" s="123"/>
      <c r="H99" s="97"/>
      <c r="I99" s="96">
        <f>SUM(I93:I98)</f>
        <v>149.52000000000001</v>
      </c>
      <c r="J99" s="128"/>
      <c r="L99" s="127">
        <f>J99-I99</f>
        <v>-149.52000000000001</v>
      </c>
      <c r="N99" s="127"/>
    </row>
    <row r="100" spans="1:14" ht="18.75" x14ac:dyDescent="0.3">
      <c r="A100" s="445" t="s">
        <v>550</v>
      </c>
      <c r="B100" s="445"/>
      <c r="C100" s="445"/>
      <c r="D100" s="445"/>
      <c r="E100" s="445"/>
      <c r="F100" s="445"/>
      <c r="G100" s="445"/>
      <c r="H100" s="445"/>
      <c r="I100" s="445"/>
      <c r="J100" s="128"/>
      <c r="L100" s="127"/>
      <c r="N100" s="127"/>
    </row>
    <row r="101" spans="1:14" ht="30" x14ac:dyDescent="0.25">
      <c r="A101" s="241">
        <v>1.33</v>
      </c>
      <c r="B101" s="241">
        <v>5.12</v>
      </c>
      <c r="C101" s="241">
        <v>7.75</v>
      </c>
      <c r="D101" s="241">
        <v>73.52</v>
      </c>
      <c r="E101" s="242" t="s">
        <v>709</v>
      </c>
      <c r="F101" s="242" t="s">
        <v>710</v>
      </c>
      <c r="G101" s="211" t="str">
        <f>IFERROR(VLOOKUP(F101,[2]Реестр!A:K,2,0),"")</f>
        <v/>
      </c>
      <c r="H101" s="210">
        <v>80</v>
      </c>
      <c r="I101" s="447">
        <v>224.27</v>
      </c>
      <c r="J101" s="128"/>
      <c r="L101" s="127"/>
      <c r="N101" s="127"/>
    </row>
    <row r="102" spans="1:14" ht="18.75" x14ac:dyDescent="0.3">
      <c r="A102" s="243">
        <v>4.1100000000000003</v>
      </c>
      <c r="B102" s="243">
        <v>4.7699999999999996</v>
      </c>
      <c r="C102" s="243">
        <v>59.23</v>
      </c>
      <c r="D102" s="243">
        <v>143.13</v>
      </c>
      <c r="E102" s="388" t="s">
        <v>730</v>
      </c>
      <c r="F102" s="242" t="s">
        <v>731</v>
      </c>
      <c r="G102" s="211" t="str">
        <f>IFERROR(VLOOKUP(F102,[2]Реестр!A:K,2,0),"")</f>
        <v/>
      </c>
      <c r="H102" s="206">
        <v>250</v>
      </c>
      <c r="I102" s="448"/>
      <c r="J102" s="128"/>
      <c r="L102" s="127"/>
      <c r="N102" s="127"/>
    </row>
    <row r="103" spans="1:14" ht="18.75" x14ac:dyDescent="0.3">
      <c r="A103" s="263">
        <v>15.55</v>
      </c>
      <c r="B103" s="263">
        <v>15.9</v>
      </c>
      <c r="C103" s="263">
        <v>90.5</v>
      </c>
      <c r="D103" s="263">
        <v>408.6</v>
      </c>
      <c r="E103" s="242" t="s">
        <v>712</v>
      </c>
      <c r="F103" s="242" t="s">
        <v>713</v>
      </c>
      <c r="G103" s="211" t="str">
        <f>IFERROR(VLOOKUP(F103,[2]Реестр!A:K,2,0),"")</f>
        <v/>
      </c>
      <c r="H103" s="206">
        <v>200</v>
      </c>
      <c r="I103" s="448"/>
      <c r="J103" s="128"/>
      <c r="L103" s="127"/>
      <c r="N103" s="127"/>
    </row>
    <row r="104" spans="1:14" ht="18.75" x14ac:dyDescent="0.3">
      <c r="A104" s="263">
        <v>0.18</v>
      </c>
      <c r="B104" s="263">
        <v>0.05</v>
      </c>
      <c r="C104" s="263">
        <v>0.32</v>
      </c>
      <c r="D104" s="263">
        <v>37.582527999999996</v>
      </c>
      <c r="E104" s="386" t="s">
        <v>714</v>
      </c>
      <c r="F104" s="386" t="s">
        <v>328</v>
      </c>
      <c r="G104" s="211">
        <f>IFERROR(VLOOKUP(F104,[2]Реестр!A:K,2,0),"")</f>
        <v>200</v>
      </c>
      <c r="H104" s="206">
        <v>200</v>
      </c>
      <c r="I104" s="448"/>
      <c r="J104" s="128"/>
      <c r="L104" s="127"/>
      <c r="N104" s="127"/>
    </row>
    <row r="105" spans="1:14" ht="18.75" x14ac:dyDescent="0.3">
      <c r="A105" s="264">
        <v>2.64</v>
      </c>
      <c r="B105" s="264">
        <v>0.48</v>
      </c>
      <c r="C105" s="264">
        <v>16.68</v>
      </c>
      <c r="D105" s="264">
        <v>77.352000000000004</v>
      </c>
      <c r="E105" s="388" t="s">
        <v>471</v>
      </c>
      <c r="F105" s="242" t="s">
        <v>715</v>
      </c>
      <c r="G105" s="211" t="str">
        <f>IFERROR(VLOOKUP(F105,[2]Реестр!A:K,2,0),"")</f>
        <v/>
      </c>
      <c r="H105" s="206">
        <v>40</v>
      </c>
      <c r="I105" s="448"/>
      <c r="J105" s="128"/>
      <c r="L105" s="127"/>
      <c r="N105" s="127"/>
    </row>
    <row r="106" spans="1:14" ht="18.75" x14ac:dyDescent="0.3">
      <c r="A106" s="264">
        <v>2.64</v>
      </c>
      <c r="B106" s="264">
        <v>0.48</v>
      </c>
      <c r="C106" s="264">
        <v>16.68</v>
      </c>
      <c r="D106" s="264">
        <v>77.352000000000004</v>
      </c>
      <c r="E106" s="389" t="s">
        <v>471</v>
      </c>
      <c r="F106" s="390" t="s">
        <v>707</v>
      </c>
      <c r="G106" s="211" t="str">
        <f>IFERROR(VLOOKUP(F106,[2]Реестр!A:K,2,0),"")</f>
        <v/>
      </c>
      <c r="H106" s="206">
        <v>40</v>
      </c>
      <c r="I106" s="448"/>
      <c r="J106" s="128"/>
      <c r="L106" s="127"/>
      <c r="N106" s="127"/>
    </row>
    <row r="107" spans="1:14" ht="18.75" hidden="1" x14ac:dyDescent="0.25">
      <c r="A107" s="264"/>
      <c r="B107" s="264"/>
      <c r="C107" s="264"/>
      <c r="D107" s="264"/>
      <c r="E107" s="95"/>
      <c r="F107" s="122"/>
      <c r="G107" s="94">
        <f>IFERROR(VLOOKUP(F107,[3]Реестр!A:K,2,0),"")</f>
        <v>0</v>
      </c>
      <c r="H107" s="230"/>
      <c r="I107" s="448"/>
      <c r="J107" s="128"/>
      <c r="L107" s="127"/>
      <c r="N107" s="127"/>
    </row>
    <row r="108" spans="1:14" ht="18.75" x14ac:dyDescent="0.3">
      <c r="A108" s="429" t="s">
        <v>16</v>
      </c>
      <c r="B108" s="429"/>
      <c r="C108" s="429"/>
      <c r="D108" s="429"/>
      <c r="E108" s="429"/>
      <c r="F108" s="429"/>
      <c r="G108" s="123"/>
      <c r="H108" s="97"/>
      <c r="I108" s="96">
        <f>SUM(I101:I107)</f>
        <v>224.27</v>
      </c>
      <c r="J108" s="128"/>
      <c r="L108" s="127"/>
      <c r="N108" s="127"/>
    </row>
    <row r="109" spans="1:14" ht="25.5" customHeight="1" x14ac:dyDescent="0.3">
      <c r="A109" s="393" t="s">
        <v>551</v>
      </c>
      <c r="B109" s="393"/>
      <c r="C109" s="393"/>
      <c r="D109" s="393"/>
      <c r="E109" s="393"/>
      <c r="F109" s="393"/>
      <c r="G109" s="141"/>
      <c r="H109" s="393"/>
      <c r="I109" s="393"/>
      <c r="J109" s="128"/>
      <c r="L109" s="127"/>
      <c r="N109" s="127"/>
    </row>
    <row r="110" spans="1:14" ht="22.5" customHeight="1" x14ac:dyDescent="0.25">
      <c r="A110" s="104">
        <v>9.81</v>
      </c>
      <c r="B110" s="104">
        <v>20.159999999999997</v>
      </c>
      <c r="C110" s="104">
        <v>8.370000000000001</v>
      </c>
      <c r="D110" s="104">
        <v>256.5</v>
      </c>
      <c r="E110" s="402" t="s">
        <v>512</v>
      </c>
      <c r="F110" s="403" t="s">
        <v>743</v>
      </c>
      <c r="G110" s="95">
        <v>50</v>
      </c>
      <c r="H110" s="143">
        <v>90</v>
      </c>
      <c r="I110" s="447">
        <v>128</v>
      </c>
      <c r="J110" s="128"/>
      <c r="L110" s="127"/>
      <c r="N110" s="127"/>
    </row>
    <row r="111" spans="1:14" ht="21" customHeight="1" x14ac:dyDescent="0.3">
      <c r="A111" s="104">
        <v>5.25</v>
      </c>
      <c r="B111" s="104">
        <v>4.05</v>
      </c>
      <c r="C111" s="104">
        <v>33.6</v>
      </c>
      <c r="D111" s="104">
        <v>196.5</v>
      </c>
      <c r="E111" s="402" t="s">
        <v>183</v>
      </c>
      <c r="F111" s="403" t="s">
        <v>182</v>
      </c>
      <c r="G111" s="98">
        <v>250</v>
      </c>
      <c r="H111" s="143">
        <v>150</v>
      </c>
      <c r="I111" s="448"/>
      <c r="J111" s="128"/>
      <c r="L111" s="127"/>
      <c r="N111" s="127"/>
    </row>
    <row r="112" spans="1:14" ht="19.5" customHeight="1" x14ac:dyDescent="0.25">
      <c r="A112" s="104">
        <v>2.64</v>
      </c>
      <c r="B112" s="104">
        <v>0.24</v>
      </c>
      <c r="C112" s="104">
        <v>18.72</v>
      </c>
      <c r="D112" s="104">
        <v>89.6</v>
      </c>
      <c r="E112" s="402" t="s">
        <v>349</v>
      </c>
      <c r="F112" s="403" t="s">
        <v>348</v>
      </c>
      <c r="G112" s="94">
        <f>IFERROR(VLOOKUP(F112,[3]Реестр!A:K,2,0),"")</f>
        <v>200</v>
      </c>
      <c r="H112" s="143">
        <v>200</v>
      </c>
      <c r="I112" s="448"/>
      <c r="J112" s="128"/>
      <c r="L112" s="127"/>
      <c r="N112" s="127"/>
    </row>
    <row r="113" spans="1:14" ht="23.25" customHeight="1" x14ac:dyDescent="0.25">
      <c r="A113" s="264">
        <v>2.64</v>
      </c>
      <c r="B113" s="264">
        <v>0.48</v>
      </c>
      <c r="C113" s="264">
        <v>16.68</v>
      </c>
      <c r="D113" s="264">
        <v>77.352000000000004</v>
      </c>
      <c r="E113" s="402" t="str">
        <f>IFERROR(VLOOKUP(F113,[1]Реестр!A:K,11,0),"")</f>
        <v>-</v>
      </c>
      <c r="F113" s="404" t="s">
        <v>66</v>
      </c>
      <c r="G113" s="94" t="str">
        <f>IFERROR(VLOOKUP(F113,[3]Реестр!A:K,2,0),"")</f>
        <v>100</v>
      </c>
      <c r="H113" s="143">
        <v>40</v>
      </c>
      <c r="I113" s="448"/>
      <c r="J113" s="128"/>
      <c r="L113" s="127"/>
      <c r="N113" s="127"/>
    </row>
    <row r="114" spans="1:14" ht="24" customHeight="1" x14ac:dyDescent="0.25">
      <c r="A114" s="264">
        <v>1.32</v>
      </c>
      <c r="B114" s="264">
        <v>0.24</v>
      </c>
      <c r="C114" s="264">
        <v>8.34</v>
      </c>
      <c r="D114" s="264">
        <v>38.67</v>
      </c>
      <c r="E114" s="402" t="str">
        <f>IFERROR(VLOOKUP(F114,[1]Реестр!A:K,11,0),"")</f>
        <v>-</v>
      </c>
      <c r="F114" s="404" t="s">
        <v>65</v>
      </c>
      <c r="G114" s="143">
        <v>20</v>
      </c>
      <c r="H114" s="229">
        <v>20</v>
      </c>
      <c r="I114" s="449"/>
      <c r="J114" s="128"/>
      <c r="L114" s="127"/>
      <c r="N114" s="127"/>
    </row>
    <row r="115" spans="1:14" ht="21" customHeight="1" x14ac:dyDescent="0.3">
      <c r="A115" s="429" t="s">
        <v>16</v>
      </c>
      <c r="B115" s="429"/>
      <c r="C115" s="429"/>
      <c r="D115" s="429"/>
      <c r="E115" s="429"/>
      <c r="F115" s="429"/>
      <c r="G115" s="123"/>
      <c r="H115" s="97"/>
      <c r="I115" s="96">
        <f>SUM(I110:I114)</f>
        <v>128</v>
      </c>
      <c r="J115" s="128"/>
      <c r="L115" s="127"/>
      <c r="N115" s="127"/>
    </row>
    <row r="116" spans="1:14" ht="25.5" hidden="1" customHeight="1" x14ac:dyDescent="0.3">
      <c r="A116" s="135"/>
      <c r="B116" s="135"/>
      <c r="C116" s="135"/>
      <c r="D116" s="135"/>
      <c r="E116" s="135"/>
      <c r="F116" s="135"/>
      <c r="G116" s="136"/>
      <c r="H116" s="134"/>
      <c r="I116" s="137"/>
      <c r="J116" s="128"/>
      <c r="L116" s="127"/>
      <c r="N116" s="127"/>
    </row>
    <row r="117" spans="1:14" ht="25.5" customHeight="1" x14ac:dyDescent="0.3">
      <c r="A117" s="445" t="s">
        <v>616</v>
      </c>
      <c r="B117" s="445"/>
      <c r="C117" s="445"/>
      <c r="D117" s="445"/>
      <c r="E117" s="445"/>
      <c r="F117" s="445"/>
      <c r="G117" s="445"/>
      <c r="H117" s="445"/>
      <c r="I117" s="445"/>
      <c r="J117" s="128"/>
      <c r="L117" s="127"/>
      <c r="N117" s="127"/>
    </row>
    <row r="118" spans="1:14" ht="25.5" customHeight="1" x14ac:dyDescent="0.25">
      <c r="A118" s="209">
        <f>IFERROR(VLOOKUP(F118,[1]Реестр!A:K,3,0)*H118/G118,"")</f>
        <v>3.84</v>
      </c>
      <c r="B118" s="209">
        <f>IFERROR(VLOOKUP(F118,[1]Реестр!A:K,4,0)*H118/G118,"")</f>
        <v>10.1</v>
      </c>
      <c r="C118" s="209">
        <f>IFERROR(VLOOKUP(F118,[1]Реестр!A:K,5,0)*H118/G118,"")</f>
        <v>9.77</v>
      </c>
      <c r="D118" s="209">
        <f>IFERROR(VLOOKUP(F118,[1]Реестр!A:K,6,0)*H118/G118,"")</f>
        <v>145.38300000000001</v>
      </c>
      <c r="E118" s="405" t="str">
        <f>IFERROR(VLOOKUP(F118,[1]Реестр!A:K,11,0),"")</f>
        <v>1*57</v>
      </c>
      <c r="F118" s="406" t="s">
        <v>106</v>
      </c>
      <c r="G118" s="211" t="str">
        <f>IFERROR(VLOOKUP(F118,[1]Реестр!A:K,2,0),"")</f>
        <v>40</v>
      </c>
      <c r="H118" s="210">
        <v>40</v>
      </c>
      <c r="I118" s="450">
        <v>149.52000000000001</v>
      </c>
      <c r="J118" s="128"/>
      <c r="L118" s="127"/>
      <c r="N118" s="127"/>
    </row>
    <row r="119" spans="1:14" ht="25.5" customHeight="1" x14ac:dyDescent="0.25">
      <c r="A119" s="209">
        <v>9.75</v>
      </c>
      <c r="B119" s="209">
        <v>12.14</v>
      </c>
      <c r="C119" s="209">
        <v>36.06</v>
      </c>
      <c r="D119" s="209">
        <v>291.64</v>
      </c>
      <c r="E119" s="407" t="str">
        <f>"2/57"</f>
        <v>2/57</v>
      </c>
      <c r="F119" s="407" t="s">
        <v>665</v>
      </c>
      <c r="G119" s="211" t="str">
        <f>IFERROR(VLOOKUP(F119,[1]Реестр!A:K,2,0),"")</f>
        <v/>
      </c>
      <c r="H119" s="210">
        <v>210</v>
      </c>
      <c r="I119" s="451"/>
      <c r="J119" s="128"/>
      <c r="L119" s="127"/>
      <c r="N119" s="127"/>
    </row>
    <row r="120" spans="1:14" ht="25.5" customHeight="1" x14ac:dyDescent="0.25">
      <c r="A120" s="209">
        <f>IFERROR(VLOOKUP(F120,[1]Реестр!A:K,3,0)*H120/G120,"")</f>
        <v>0.15</v>
      </c>
      <c r="B120" s="209">
        <f>IFERROR(VLOOKUP(F120,[1]Реестр!A:K,4,0)*H120/G120,"")</f>
        <v>0.09</v>
      </c>
      <c r="C120" s="209">
        <f>IFERROR(VLOOKUP(F120,[1]Реестр!A:K,5,0)*H120/G120,"")</f>
        <v>8.58</v>
      </c>
      <c r="D120" s="209">
        <f>IFERROR(VLOOKUP(F120,[1]Реестр!A:K,6,0)*H120/G120,"")</f>
        <v>34.799999999999997</v>
      </c>
      <c r="E120" s="405" t="str">
        <f>IFERROR(VLOOKUP(F120,[1]Реестр!A:K,11,0),"")</f>
        <v>12*2</v>
      </c>
      <c r="F120" s="406" t="s">
        <v>371</v>
      </c>
      <c r="G120" s="211" t="str">
        <f>IFERROR(VLOOKUP(F120,[1]Реестр!A:K,2,0),"")</f>
        <v>100</v>
      </c>
      <c r="H120" s="210">
        <v>30</v>
      </c>
      <c r="I120" s="451"/>
      <c r="J120" s="128"/>
      <c r="L120" s="127"/>
      <c r="N120" s="127"/>
    </row>
    <row r="121" spans="1:14" ht="25.5" customHeight="1" x14ac:dyDescent="0.3">
      <c r="A121" s="209">
        <f>IFERROR(VLOOKUP(F121,[1]Реестр!A:K,3,0)*H121/G121,"")</f>
        <v>1.4</v>
      </c>
      <c r="B121" s="209">
        <f>IFERROR(VLOOKUP(F121,[1]Реестр!A:K,4,0)*H121/G121,"")</f>
        <v>1.1000000000000001</v>
      </c>
      <c r="C121" s="209">
        <f>IFERROR(VLOOKUP(F121,[1]Реестр!A:K,5,0)*H121/G121,"")</f>
        <v>16.600000000000001</v>
      </c>
      <c r="D121" s="209">
        <f>IFERROR(VLOOKUP(F121,[1]Реестр!A:K,6,0)*H121/G121,"")</f>
        <v>79</v>
      </c>
      <c r="E121" s="407" t="str">
        <f>"11/59"</f>
        <v>11/59</v>
      </c>
      <c r="F121" s="407" t="s">
        <v>357</v>
      </c>
      <c r="G121" s="211" t="str">
        <f>IFERROR(VLOOKUP(F121,[1]Реестр!A:K,2,0),"")</f>
        <v>200</v>
      </c>
      <c r="H121" s="206">
        <v>200</v>
      </c>
      <c r="I121" s="451"/>
      <c r="J121" s="128"/>
      <c r="L121" s="127"/>
      <c r="N121" s="127"/>
    </row>
    <row r="122" spans="1:14" ht="25.5" customHeight="1" x14ac:dyDescent="0.3">
      <c r="A122" s="209">
        <f>IFERROR(VLOOKUP(F122,[1]Реестр!A:K,3,0)*H122/G122,"")</f>
        <v>1.32</v>
      </c>
      <c r="B122" s="209">
        <f>IFERROR(VLOOKUP(F122,[1]Реестр!A:K,4,0)*H122/G122,"")</f>
        <v>0.24</v>
      </c>
      <c r="C122" s="209">
        <f>IFERROR(VLOOKUP(F122,[1]Реестр!A:K,5,0)*H122/G122,"")</f>
        <v>6.68</v>
      </c>
      <c r="D122" s="209">
        <f>IFERROR(VLOOKUP(F122,[1]Реестр!A:K,6,0)*H122/G122,"")</f>
        <v>38.6</v>
      </c>
      <c r="E122" s="405" t="str">
        <f>IFERROR(VLOOKUP(F122,[1]Реестр!A:K,11,0),"")</f>
        <v>-</v>
      </c>
      <c r="F122" s="408" t="s">
        <v>65</v>
      </c>
      <c r="G122" s="211" t="str">
        <f>IFERROR(VLOOKUP(F122,[1]Реестр!A:K,2,0),"")</f>
        <v>100</v>
      </c>
      <c r="H122" s="206">
        <v>20</v>
      </c>
      <c r="I122" s="452"/>
      <c r="J122" s="128"/>
      <c r="L122" s="127"/>
      <c r="N122" s="127"/>
    </row>
    <row r="123" spans="1:14" ht="25.5" customHeight="1" x14ac:dyDescent="0.3">
      <c r="A123" s="429" t="s">
        <v>16</v>
      </c>
      <c r="B123" s="429"/>
      <c r="C123" s="429"/>
      <c r="D123" s="429"/>
      <c r="E123" s="429"/>
      <c r="F123" s="429"/>
      <c r="G123" s="123"/>
      <c r="H123" s="97"/>
      <c r="I123" s="96">
        <f>SUM(I118:I122)</f>
        <v>149.52000000000001</v>
      </c>
      <c r="J123" s="128"/>
      <c r="L123" s="127"/>
      <c r="N123" s="127"/>
    </row>
    <row r="124" spans="1:14" ht="25.5" customHeight="1" x14ac:dyDescent="0.3">
      <c r="A124" s="445" t="s">
        <v>617</v>
      </c>
      <c r="B124" s="445"/>
      <c r="C124" s="445"/>
      <c r="D124" s="445"/>
      <c r="E124" s="445"/>
      <c r="F124" s="445"/>
      <c r="G124" s="445"/>
      <c r="H124" s="445"/>
      <c r="I124" s="445"/>
      <c r="J124" s="128"/>
      <c r="L124" s="127"/>
      <c r="N124" s="127"/>
    </row>
    <row r="125" spans="1:14" ht="18.75" customHeight="1" x14ac:dyDescent="0.25">
      <c r="A125" s="241">
        <v>0.95</v>
      </c>
      <c r="B125" s="241">
        <v>4.8</v>
      </c>
      <c r="C125" s="241">
        <v>3.44</v>
      </c>
      <c r="D125" s="241">
        <v>63.2</v>
      </c>
      <c r="E125" s="407" t="str">
        <f>"7/48"</f>
        <v>7/48</v>
      </c>
      <c r="F125" s="403" t="s">
        <v>681</v>
      </c>
      <c r="G125" s="188" t="str">
        <f>IFERROR(VLOOKUP(F125,[2]Реестр!A:K,2,0),"")</f>
        <v/>
      </c>
      <c r="H125" s="95">
        <v>80</v>
      </c>
      <c r="I125" s="456">
        <v>224.27</v>
      </c>
      <c r="J125" s="128"/>
      <c r="L125" s="127"/>
      <c r="N125" s="127"/>
    </row>
    <row r="126" spans="1:14" ht="18.75" customHeight="1" x14ac:dyDescent="0.3">
      <c r="A126" s="104">
        <v>7.13</v>
      </c>
      <c r="B126" s="104">
        <v>6.2</v>
      </c>
      <c r="C126" s="104">
        <v>15.6</v>
      </c>
      <c r="D126" s="104">
        <v>148</v>
      </c>
      <c r="E126" s="409" t="s">
        <v>213</v>
      </c>
      <c r="F126" s="403" t="s">
        <v>682</v>
      </c>
      <c r="G126" s="188" t="str">
        <f>IFERROR(VLOOKUP(F126,[2]Реестр!A:K,2,0),"")</f>
        <v/>
      </c>
      <c r="H126" s="97">
        <v>200</v>
      </c>
      <c r="I126" s="457"/>
      <c r="J126" s="128"/>
      <c r="L126" s="127"/>
      <c r="N126" s="127"/>
    </row>
    <row r="127" spans="1:14" ht="18.75" customHeight="1" x14ac:dyDescent="0.3">
      <c r="A127" s="104">
        <v>15.6</v>
      </c>
      <c r="B127" s="104">
        <v>18.7</v>
      </c>
      <c r="C127" s="104">
        <v>42</v>
      </c>
      <c r="D127" s="104">
        <v>402</v>
      </c>
      <c r="E127" s="402" t="s">
        <v>604</v>
      </c>
      <c r="F127" s="403" t="s">
        <v>300</v>
      </c>
      <c r="G127" s="188" t="str">
        <f>IFERROR(VLOOKUP(F127,[2]Реестр!A:K,2,0),"")</f>
        <v>100</v>
      </c>
      <c r="H127" s="97">
        <v>90</v>
      </c>
      <c r="I127" s="457"/>
      <c r="J127" s="128"/>
      <c r="L127" s="127"/>
      <c r="N127" s="127"/>
    </row>
    <row r="128" spans="1:14" ht="18.75" customHeight="1" x14ac:dyDescent="0.3">
      <c r="A128" s="263">
        <v>2.7</v>
      </c>
      <c r="B128" s="263">
        <v>4</v>
      </c>
      <c r="C128" s="263">
        <v>45.65</v>
      </c>
      <c r="D128" s="263">
        <v>124.8282955</v>
      </c>
      <c r="E128" s="407" t="str">
        <f>"5/74"</f>
        <v>5/74</v>
      </c>
      <c r="F128" s="387" t="s">
        <v>664</v>
      </c>
      <c r="G128" s="188" t="str">
        <f>IFERROR(VLOOKUP(F128,[2]Реестр!A:K,2,0),"")</f>
        <v/>
      </c>
      <c r="H128" s="97">
        <v>150</v>
      </c>
      <c r="I128" s="457"/>
      <c r="J128" s="128"/>
      <c r="L128" s="127"/>
      <c r="N128" s="127"/>
    </row>
    <row r="129" spans="1:14" ht="18.75" customHeight="1" x14ac:dyDescent="0.3">
      <c r="A129" s="263">
        <v>0.14000000000000001</v>
      </c>
      <c r="B129" s="263">
        <v>0.1</v>
      </c>
      <c r="C129" s="263">
        <v>1.5</v>
      </c>
      <c r="D129" s="263">
        <v>83.962620000000015</v>
      </c>
      <c r="E129" s="407" t="str">
        <f>"11/1"</f>
        <v>11/1</v>
      </c>
      <c r="F129" s="407" t="s">
        <v>317</v>
      </c>
      <c r="G129" s="188">
        <f>IFERROR(VLOOKUP(F129,[2]Реестр!A:K,2,0),"")</f>
        <v>200</v>
      </c>
      <c r="H129" s="97">
        <v>200</v>
      </c>
      <c r="I129" s="457"/>
      <c r="J129" s="128"/>
      <c r="L129" s="127"/>
      <c r="N129" s="127"/>
    </row>
    <row r="130" spans="1:14" ht="18.75" customHeight="1" x14ac:dyDescent="0.3">
      <c r="A130" s="264">
        <v>2.64</v>
      </c>
      <c r="B130" s="264">
        <v>0.48</v>
      </c>
      <c r="C130" s="264">
        <v>16.68</v>
      </c>
      <c r="D130" s="264">
        <v>77.352000000000004</v>
      </c>
      <c r="E130" s="402" t="str">
        <f>IFERROR(VLOOKUP(F130,[1]Реестр!A:K,11,0),"")</f>
        <v>-</v>
      </c>
      <c r="F130" s="404" t="s">
        <v>66</v>
      </c>
      <c r="G130" s="188" t="str">
        <f>IFERROR(VLOOKUP(F130,[2]Реестр!A:K,2,0),"")</f>
        <v>100</v>
      </c>
      <c r="H130" s="97">
        <v>40</v>
      </c>
      <c r="I130" s="457"/>
      <c r="J130" s="128"/>
      <c r="L130" s="127"/>
      <c r="N130" s="127"/>
    </row>
    <row r="131" spans="1:14" ht="18.75" customHeight="1" x14ac:dyDescent="0.3">
      <c r="A131" s="264">
        <v>2.64</v>
      </c>
      <c r="B131" s="264">
        <v>0.48</v>
      </c>
      <c r="C131" s="264">
        <v>16.68</v>
      </c>
      <c r="D131" s="264">
        <v>77.352000000000004</v>
      </c>
      <c r="E131" s="402" t="str">
        <f>IFERROR(VLOOKUP(F131,[1]Реестр!A:K,11,0),"")</f>
        <v>-</v>
      </c>
      <c r="F131" s="404" t="s">
        <v>65</v>
      </c>
      <c r="G131" s="188"/>
      <c r="H131" s="97">
        <v>40</v>
      </c>
      <c r="I131" s="458"/>
      <c r="J131" s="128"/>
      <c r="L131" s="127"/>
      <c r="N131" s="127"/>
    </row>
    <row r="132" spans="1:14" ht="25.5" customHeight="1" x14ac:dyDescent="0.3">
      <c r="A132" s="429" t="s">
        <v>16</v>
      </c>
      <c r="B132" s="429"/>
      <c r="C132" s="429"/>
      <c r="D132" s="429"/>
      <c r="E132" s="429"/>
      <c r="F132" s="429"/>
      <c r="G132" s="123"/>
      <c r="H132" s="97"/>
      <c r="I132" s="96">
        <f>SUM(I125:I131)</f>
        <v>224.27</v>
      </c>
      <c r="J132" s="128"/>
      <c r="L132" s="127"/>
      <c r="N132" s="127"/>
    </row>
    <row r="133" spans="1:14" ht="15.75" hidden="1" x14ac:dyDescent="0.25">
      <c r="A133" s="459" t="s">
        <v>524</v>
      </c>
      <c r="B133" s="459"/>
      <c r="C133" s="459"/>
      <c r="D133" s="459"/>
      <c r="E133" s="459"/>
      <c r="F133" s="130" t="str">
        <f>"- диетические блюда"</f>
        <v>- диетические блюда</v>
      </c>
      <c r="G133" s="130"/>
      <c r="H133" s="130"/>
      <c r="J133" s="131"/>
    </row>
    <row r="134" spans="1:14" ht="15.75" hidden="1" x14ac:dyDescent="0.25">
      <c r="A134" s="460" t="s">
        <v>525</v>
      </c>
      <c r="B134" s="460"/>
      <c r="C134" s="460"/>
      <c r="D134" s="460"/>
      <c r="E134" s="460"/>
      <c r="F134" s="130" t="str">
        <f>"- блюда имеющие в составе аллергенный продукт"</f>
        <v>- блюда имеющие в составе аллергенный продукт</v>
      </c>
      <c r="G134" s="130"/>
      <c r="H134" s="130"/>
    </row>
    <row r="135" spans="1:14" ht="18.75" x14ac:dyDescent="0.3">
      <c r="A135" s="462" t="s">
        <v>644</v>
      </c>
      <c r="B135" s="462"/>
      <c r="C135" s="462"/>
      <c r="D135" s="462"/>
      <c r="E135" s="462"/>
      <c r="F135" s="462"/>
      <c r="G135" s="463"/>
      <c r="H135" s="462"/>
      <c r="I135" s="462"/>
    </row>
    <row r="136" spans="1:14" ht="18.75" x14ac:dyDescent="0.3">
      <c r="A136" s="263">
        <v>4.1100000000000003</v>
      </c>
      <c r="B136" s="263">
        <v>4.7699999999999996</v>
      </c>
      <c r="C136" s="263">
        <v>19.5</v>
      </c>
      <c r="D136" s="263">
        <v>143.13</v>
      </c>
      <c r="E136" s="242" t="s">
        <v>711</v>
      </c>
      <c r="F136" s="242" t="s">
        <v>716</v>
      </c>
      <c r="G136" s="206">
        <v>200</v>
      </c>
      <c r="H136" s="410">
        <v>250</v>
      </c>
      <c r="I136" s="450">
        <v>207.36</v>
      </c>
    </row>
    <row r="137" spans="1:14" ht="18.75" x14ac:dyDescent="0.3">
      <c r="A137" s="263">
        <v>15.55</v>
      </c>
      <c r="B137" s="263">
        <v>15.4</v>
      </c>
      <c r="C137" s="263">
        <v>57.1</v>
      </c>
      <c r="D137" s="263">
        <v>364.2</v>
      </c>
      <c r="E137" s="242" t="s">
        <v>712</v>
      </c>
      <c r="F137" s="242" t="s">
        <v>713</v>
      </c>
      <c r="G137" s="97">
        <v>90</v>
      </c>
      <c r="H137" s="410">
        <v>200</v>
      </c>
      <c r="I137" s="451"/>
    </row>
    <row r="138" spans="1:14" ht="18.75" x14ac:dyDescent="0.3">
      <c r="A138" s="263">
        <v>0.18</v>
      </c>
      <c r="B138" s="263">
        <v>0.05</v>
      </c>
      <c r="C138" s="263">
        <v>0.32</v>
      </c>
      <c r="D138" s="263">
        <v>37.582527999999996</v>
      </c>
      <c r="E138" s="242" t="s">
        <v>714</v>
      </c>
      <c r="F138" s="242" t="s">
        <v>328</v>
      </c>
      <c r="G138" s="97">
        <v>150</v>
      </c>
      <c r="H138" s="410">
        <v>200</v>
      </c>
      <c r="I138" s="451"/>
    </row>
    <row r="139" spans="1:14" ht="18.75" x14ac:dyDescent="0.3">
      <c r="A139" s="264">
        <v>2.64</v>
      </c>
      <c r="B139" s="264">
        <v>0.48</v>
      </c>
      <c r="C139" s="264">
        <v>16.68</v>
      </c>
      <c r="D139" s="264">
        <v>77.352000000000004</v>
      </c>
      <c r="E139" s="402" t="s">
        <v>471</v>
      </c>
      <c r="F139" s="404" t="s">
        <v>66</v>
      </c>
      <c r="G139" s="97">
        <v>40</v>
      </c>
      <c r="H139" s="264" t="str">
        <f>"40"</f>
        <v>40</v>
      </c>
      <c r="I139" s="451"/>
    </row>
    <row r="140" spans="1:14" ht="18.75" x14ac:dyDescent="0.3">
      <c r="A140" s="264">
        <v>2.64</v>
      </c>
      <c r="B140" s="264">
        <v>0.48</v>
      </c>
      <c r="C140" s="264">
        <v>16.68</v>
      </c>
      <c r="D140" s="264">
        <v>77.352000000000004</v>
      </c>
      <c r="E140" s="402" t="s">
        <v>471</v>
      </c>
      <c r="F140" s="404" t="s">
        <v>65</v>
      </c>
      <c r="G140" s="97">
        <v>20</v>
      </c>
      <c r="H140" s="264" t="str">
        <f>"40"</f>
        <v>40</v>
      </c>
      <c r="I140" s="451"/>
    </row>
    <row r="141" spans="1:14" ht="18.75" x14ac:dyDescent="0.3">
      <c r="A141" s="464" t="s">
        <v>16</v>
      </c>
      <c r="B141" s="464"/>
      <c r="C141" s="464"/>
      <c r="D141" s="464"/>
      <c r="E141" s="464"/>
      <c r="F141" s="464"/>
      <c r="G141" s="164"/>
      <c r="H141" s="206"/>
      <c r="I141" s="207">
        <f>SUM(I136)</f>
        <v>207.36</v>
      </c>
    </row>
    <row r="142" spans="1:14" ht="18.75" hidden="1" x14ac:dyDescent="0.3">
      <c r="A142" s="251"/>
      <c r="B142" s="251"/>
      <c r="C142" s="251"/>
      <c r="D142" s="251"/>
      <c r="E142" s="251"/>
      <c r="F142" s="251"/>
      <c r="G142" s="351"/>
      <c r="H142" s="255"/>
      <c r="I142" s="256"/>
    </row>
    <row r="143" spans="1:14" ht="18.75" x14ac:dyDescent="0.3">
      <c r="A143" s="461" t="s">
        <v>677</v>
      </c>
      <c r="B143" s="461"/>
      <c r="C143" s="461"/>
      <c r="D143" s="461"/>
      <c r="E143" s="461"/>
      <c r="F143" s="461"/>
      <c r="G143" s="462"/>
      <c r="H143" s="461"/>
      <c r="I143" s="461"/>
    </row>
    <row r="144" spans="1:14" ht="18.75" x14ac:dyDescent="0.3">
      <c r="A144" s="263">
        <v>5.55</v>
      </c>
      <c r="B144" s="263">
        <v>7.8</v>
      </c>
      <c r="C144" s="263">
        <v>15.95</v>
      </c>
      <c r="D144" s="263">
        <v>199.78905478333331</v>
      </c>
      <c r="E144" s="242" t="s">
        <v>711</v>
      </c>
      <c r="F144" s="242" t="s">
        <v>716</v>
      </c>
      <c r="G144" s="211" t="str">
        <f>IFERROR(VLOOKUP(F144,[2]Реестр!A:K,2,0),"")</f>
        <v/>
      </c>
      <c r="H144" s="206">
        <v>200</v>
      </c>
      <c r="I144" s="450">
        <v>130.88</v>
      </c>
    </row>
    <row r="145" spans="1:9" ht="18.75" x14ac:dyDescent="0.3">
      <c r="A145" s="263">
        <v>16.579999999999998</v>
      </c>
      <c r="B145" s="263">
        <v>19.5</v>
      </c>
      <c r="C145" s="263">
        <v>68.38</v>
      </c>
      <c r="D145" s="263">
        <v>327.07</v>
      </c>
      <c r="E145" s="242" t="s">
        <v>712</v>
      </c>
      <c r="F145" s="242" t="s">
        <v>713</v>
      </c>
      <c r="G145" s="211" t="str">
        <f>IFERROR(VLOOKUP(F145,[2]Реестр!A:K,2,0),"")</f>
        <v/>
      </c>
      <c r="H145" s="206">
        <v>200</v>
      </c>
      <c r="I145" s="451"/>
    </row>
    <row r="146" spans="1:9" ht="18.75" x14ac:dyDescent="0.3">
      <c r="A146" s="263">
        <v>0.14000000000000001</v>
      </c>
      <c r="B146" s="263">
        <v>0.1</v>
      </c>
      <c r="C146" s="263">
        <v>1.5</v>
      </c>
      <c r="D146" s="263">
        <v>83.962620000000015</v>
      </c>
      <c r="E146" s="242" t="s">
        <v>714</v>
      </c>
      <c r="F146" s="242" t="s">
        <v>328</v>
      </c>
      <c r="G146" s="211">
        <f>IFERROR(VLOOKUP(F146,[2]Реестр!A:K,2,0),"")</f>
        <v>200</v>
      </c>
      <c r="H146" s="206">
        <v>200</v>
      </c>
      <c r="I146" s="451"/>
    </row>
    <row r="147" spans="1:9" ht="18.75" x14ac:dyDescent="0.3">
      <c r="A147" s="209">
        <v>2.64</v>
      </c>
      <c r="B147" s="209">
        <v>0.24</v>
      </c>
      <c r="C147" s="209">
        <v>18.72</v>
      </c>
      <c r="D147" s="209">
        <v>89.6</v>
      </c>
      <c r="E147" s="405" t="s">
        <v>471</v>
      </c>
      <c r="F147" s="408" t="s">
        <v>66</v>
      </c>
      <c r="G147" s="211" t="str">
        <f>IFERROR(VLOOKUP(F147,[2]Реестр!A:K,2,0),"")</f>
        <v>100</v>
      </c>
      <c r="H147" s="206">
        <v>40</v>
      </c>
      <c r="I147" s="451"/>
    </row>
    <row r="148" spans="1:9" ht="18.75" x14ac:dyDescent="0.3">
      <c r="A148" s="209">
        <v>2.64</v>
      </c>
      <c r="B148" s="209">
        <v>0.48</v>
      </c>
      <c r="C148" s="209">
        <v>13.36</v>
      </c>
      <c r="D148" s="209">
        <v>77.2</v>
      </c>
      <c r="E148" s="405" t="s">
        <v>471</v>
      </c>
      <c r="F148" s="408" t="s">
        <v>65</v>
      </c>
      <c r="G148" s="211" t="str">
        <f>IFERROR(VLOOKUP(F148,[2]Реестр!A:K,2,0),"")</f>
        <v>100</v>
      </c>
      <c r="H148" s="206">
        <v>40</v>
      </c>
      <c r="I148" s="452"/>
    </row>
    <row r="149" spans="1:9" ht="18.75" x14ac:dyDescent="0.3">
      <c r="A149" s="453" t="s">
        <v>16</v>
      </c>
      <c r="B149" s="454"/>
      <c r="C149" s="454"/>
      <c r="D149" s="454"/>
      <c r="E149" s="454"/>
      <c r="F149" s="455"/>
      <c r="G149" s="205"/>
      <c r="H149" s="206"/>
      <c r="I149" s="207">
        <f>SUM(I144:I148)</f>
        <v>130.88</v>
      </c>
    </row>
    <row r="150" spans="1:9" ht="18.75" x14ac:dyDescent="0.3">
      <c r="A150" s="251"/>
      <c r="B150" s="251"/>
      <c r="C150" s="251"/>
      <c r="D150" s="251"/>
      <c r="E150" s="251"/>
      <c r="F150" s="251"/>
      <c r="G150" s="337"/>
      <c r="H150" s="255"/>
      <c r="I150" s="256"/>
    </row>
    <row r="151" spans="1:9" ht="18.75" x14ac:dyDescent="0.3">
      <c r="A151" s="411"/>
      <c r="B151" s="411"/>
      <c r="C151" s="412"/>
      <c r="D151" s="413" t="s">
        <v>37</v>
      </c>
      <c r="E151" s="412"/>
      <c r="F151" s="413" t="s">
        <v>495</v>
      </c>
      <c r="G151" s="132" t="s">
        <v>494</v>
      </c>
      <c r="H151" s="132"/>
    </row>
    <row r="152" spans="1:9" ht="18.75" x14ac:dyDescent="0.3">
      <c r="A152" s="411"/>
      <c r="B152" s="411"/>
      <c r="C152" s="412"/>
      <c r="D152" s="413"/>
      <c r="E152" s="412"/>
      <c r="F152" s="413"/>
      <c r="G152" s="132"/>
      <c r="H152" s="132"/>
    </row>
    <row r="153" spans="1:9" ht="18.75" x14ac:dyDescent="0.3">
      <c r="A153" s="411"/>
      <c r="B153" s="411"/>
      <c r="C153" s="412"/>
      <c r="D153" s="413"/>
      <c r="E153" s="412"/>
      <c r="F153" s="413"/>
      <c r="G153" s="133"/>
      <c r="H153" s="414" t="s">
        <v>699</v>
      </c>
      <c r="I153" s="415"/>
    </row>
    <row r="154" spans="1:9" ht="4.5" hidden="1" customHeight="1" x14ac:dyDescent="0.25"/>
  </sheetData>
  <autoFilter ref="A1:K134" xr:uid="{00000000-0009-0000-0000-000000000000}">
    <filterColumn colId="0">
      <customFilters>
        <customFilter operator="notEqual" val=" "/>
      </customFilters>
    </filterColumn>
    <filterColumn colId="7" showButton="0"/>
  </autoFilter>
  <mergeCells count="55">
    <mergeCell ref="A149:F149"/>
    <mergeCell ref="A132:F132"/>
    <mergeCell ref="A117:I117"/>
    <mergeCell ref="I118:I122"/>
    <mergeCell ref="A123:F123"/>
    <mergeCell ref="A124:I124"/>
    <mergeCell ref="I125:I131"/>
    <mergeCell ref="A133:E133"/>
    <mergeCell ref="A134:E134"/>
    <mergeCell ref="A143:I143"/>
    <mergeCell ref="A135:I135"/>
    <mergeCell ref="I136:I140"/>
    <mergeCell ref="A141:F141"/>
    <mergeCell ref="I144:I148"/>
    <mergeCell ref="A71:H71"/>
    <mergeCell ref="A60:F60"/>
    <mergeCell ref="A84:I84"/>
    <mergeCell ref="A91:F91"/>
    <mergeCell ref="A81:F81"/>
    <mergeCell ref="A92:I92"/>
    <mergeCell ref="A99:F99"/>
    <mergeCell ref="A82:H82"/>
    <mergeCell ref="I110:I114"/>
    <mergeCell ref="A115:F115"/>
    <mergeCell ref="I85:I88"/>
    <mergeCell ref="I93:I98"/>
    <mergeCell ref="A100:I100"/>
    <mergeCell ref="I101:I107"/>
    <mergeCell ref="A108:F108"/>
    <mergeCell ref="J4:J5"/>
    <mergeCell ref="A6:H6"/>
    <mergeCell ref="A12:F12"/>
    <mergeCell ref="D4:D5"/>
    <mergeCell ref="E4:E5"/>
    <mergeCell ref="F4:F5"/>
    <mergeCell ref="G4:G5"/>
    <mergeCell ref="H4:H5"/>
    <mergeCell ref="I4:I5"/>
    <mergeCell ref="A4:C4"/>
    <mergeCell ref="A13:H13"/>
    <mergeCell ref="A21:F21"/>
    <mergeCell ref="A22:H22"/>
    <mergeCell ref="A30:F30"/>
    <mergeCell ref="A31:H31"/>
    <mergeCell ref="H1:I1"/>
    <mergeCell ref="H2:I2"/>
    <mergeCell ref="A3:C3"/>
    <mergeCell ref="D3:E3"/>
    <mergeCell ref="H3:I3"/>
    <mergeCell ref="A39:F39"/>
    <mergeCell ref="A40:H40"/>
    <mergeCell ref="A41:H41"/>
    <mergeCell ref="A61:H61"/>
    <mergeCell ref="A62:H62"/>
    <mergeCell ref="A50:H50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colBreaks count="1" manualBreakCount="1">
    <brk id="9" max="1048575" man="1"/>
  </col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0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F29 F85</xm:sqref>
        </x14:dataValidation>
        <x14:dataValidation type="list" allowBlank="1" showInputMessage="1" showErrorMessage="1" xr:uid="{00000000-0002-0000-0000-000001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F87:F90 F148 F19:F20 F26:F28 F45:F48 F121:F122 F140 F10:F11 F37:F38 F56 F96:F97 F110 F114 F112 F66:F68 F131 F106 F77</xm:sqref>
        </x14:dataValidation>
        <x14:dataValidation type="list" allowBlank="1" showInputMessage="1" showErrorMessage="1" xr:uid="{00000000-0002-0000-0000-000002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F87:F90 F131 F121:F122 F140 F19:F20 F106 F45:F48 F110 F112 F114 F66:F68 F148 F10:F11 F26:F28 F37:F38 F56 F96:F97 F77</xm:sqref>
        </x14:dataValidation>
        <x14:dataValidation type="list" allowBlank="1" showInputMessage="1" showErrorMessage="1" xr:uid="{00000000-0002-0000-00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F86 F76 F7:F9 F113 F118:F120 F139 F23:F25 F36 F98 F42:F44 F63:F65 F55 F93:F95 F107 F18 F104:F105 F127:F130 F147</xm:sqref>
        </x14:dataValidation>
        <x14:dataValidation type="list" allowBlank="1" showInputMessage="1" showErrorMessage="1" xr:uid="{00000000-0002-0000-0000-000004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F125:F126 F111</xm:sqref>
        </x14:dataValidation>
        <x14:dataValidation type="list" allowBlank="1" showInputMessage="1" showErrorMessage="1" xr:uid="{65C04E76-8DEC-4CC3-8CEE-8B0126ABCCA4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F136 F73 F15 F101:F103 F33 F52 F144</xm:sqref>
        </x14:dataValidation>
        <x14:dataValidation type="list" allowBlank="1" showInputMessage="1" showErrorMessage="1" xr:uid="{7D663A5E-6954-469D-A97F-AE91D6F7A225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F57 F78</xm:sqref>
        </x14:dataValidation>
        <x14:dataValidation type="list" allowBlank="1" showInputMessage="1" showErrorMessage="1" xr:uid="{00000000-0002-0000-0000-000005000000}">
          <x14:formula1>
            <xm:f>Реестр!A:A</xm:f>
          </x14:formula1>
          <x14:formula2>
            <xm:f>0</xm:f>
          </x14:formula2>
          <xm:sqref>F70 F83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">
    <pageSetUpPr fitToPage="1"/>
  </sheetPr>
  <dimension ref="A1:L156"/>
  <sheetViews>
    <sheetView view="pageBreakPreview" topLeftCell="A112" zoomScaleNormal="100" zoomScaleSheetLayoutView="100" workbookViewId="0">
      <selection activeCell="A128" sqref="A128:I133"/>
    </sheetView>
  </sheetViews>
  <sheetFormatPr defaultRowHeight="15.75" x14ac:dyDescent="0.25"/>
  <cols>
    <col min="1" max="1" width="11.28515625" style="215" customWidth="1"/>
    <col min="2" max="2" width="11.28515625" style="252" customWidth="1"/>
    <col min="3" max="3" width="10.5703125" style="253" customWidth="1"/>
    <col min="4" max="4" width="10.28515625" style="253" customWidth="1"/>
    <col min="5" max="5" width="14" style="253" customWidth="1"/>
    <col min="6" max="6" width="57.85546875" style="253" customWidth="1"/>
    <col min="7" max="7" width="17.85546875" style="253" hidden="1" customWidth="1"/>
    <col min="8" max="9" width="15.5703125" style="253" customWidth="1"/>
    <col min="10" max="10" width="25.5703125" style="215" customWidth="1"/>
    <col min="11" max="1025" width="8.7109375" style="202" customWidth="1"/>
    <col min="1026" max="16384" width="9.140625" style="202"/>
  </cols>
  <sheetData>
    <row r="1" spans="1:12" s="234" customFormat="1" ht="29.25" customHeight="1" x14ac:dyDescent="0.25">
      <c r="A1" s="468" t="s">
        <v>0</v>
      </c>
      <c r="B1" s="468"/>
      <c r="C1" s="235"/>
      <c r="D1" s="235"/>
      <c r="E1" s="235"/>
      <c r="F1" s="231" t="s">
        <v>1</v>
      </c>
      <c r="G1" s="231"/>
      <c r="H1" s="439" t="s">
        <v>0</v>
      </c>
      <c r="I1" s="439"/>
    </row>
    <row r="2" spans="1:12" s="234" customFormat="1" ht="29.25" customHeight="1" x14ac:dyDescent="0.25">
      <c r="A2" s="235" t="s">
        <v>2</v>
      </c>
      <c r="B2" s="235"/>
      <c r="C2" s="259"/>
      <c r="D2" s="259"/>
      <c r="E2" s="259"/>
      <c r="F2" s="231" t="s">
        <v>3</v>
      </c>
      <c r="G2" s="231"/>
      <c r="H2" s="469" t="s">
        <v>526</v>
      </c>
      <c r="I2" s="469"/>
      <c r="J2" s="235"/>
    </row>
    <row r="3" spans="1:12" s="234" customFormat="1" ht="29.25" customHeight="1" x14ac:dyDescent="0.25">
      <c r="A3" s="437" t="s">
        <v>522</v>
      </c>
      <c r="B3" s="437"/>
      <c r="C3" s="437"/>
      <c r="D3" s="438"/>
      <c r="E3" s="438"/>
      <c r="F3" s="371" t="s">
        <v>685</v>
      </c>
      <c r="G3" s="231"/>
      <c r="H3" s="470" t="s">
        <v>521</v>
      </c>
      <c r="I3" s="470"/>
    </row>
    <row r="4" spans="1:12" ht="15" customHeight="1" x14ac:dyDescent="0.25">
      <c r="A4" s="472" t="s">
        <v>4</v>
      </c>
      <c r="B4" s="472"/>
      <c r="C4" s="472"/>
      <c r="D4" s="471" t="s">
        <v>5</v>
      </c>
      <c r="E4" s="471" t="s">
        <v>6</v>
      </c>
      <c r="F4" s="471" t="s">
        <v>7</v>
      </c>
      <c r="G4" s="473" t="s">
        <v>8</v>
      </c>
      <c r="H4" s="471" t="s">
        <v>9</v>
      </c>
      <c r="I4" s="471" t="s">
        <v>10</v>
      </c>
      <c r="J4" s="471" t="s">
        <v>11</v>
      </c>
    </row>
    <row r="5" spans="1:12" x14ac:dyDescent="0.25">
      <c r="A5" s="232" t="s">
        <v>12</v>
      </c>
      <c r="B5" s="232" t="s">
        <v>13</v>
      </c>
      <c r="C5" s="232" t="s">
        <v>14</v>
      </c>
      <c r="D5" s="471"/>
      <c r="E5" s="471"/>
      <c r="F5" s="471"/>
      <c r="G5" s="473"/>
      <c r="H5" s="471"/>
      <c r="I5" s="471"/>
      <c r="J5" s="471"/>
    </row>
    <row r="6" spans="1:12" ht="18" customHeight="1" x14ac:dyDescent="0.3">
      <c r="A6" s="462" t="s">
        <v>15</v>
      </c>
      <c r="B6" s="462"/>
      <c r="C6" s="462"/>
      <c r="D6" s="462"/>
      <c r="E6" s="462"/>
      <c r="F6" s="462"/>
      <c r="G6" s="462"/>
      <c r="H6" s="462"/>
      <c r="I6" s="462"/>
      <c r="J6" s="212"/>
    </row>
    <row r="7" spans="1:12" ht="18" customHeight="1" x14ac:dyDescent="0.3">
      <c r="A7" s="209">
        <f>IFERROR(VLOOKUP(F7,[1]Реестр!A:K,3,0)*H7/G7,"")</f>
        <v>3.84</v>
      </c>
      <c r="B7" s="209">
        <f>IFERROR(VLOOKUP(F7,[1]Реестр!A:K,4,0)*H7/G7,"")</f>
        <v>10.1</v>
      </c>
      <c r="C7" s="209">
        <f>IFERROR(VLOOKUP(F7,[1]Реестр!A:K,5,0)*H7/G7,"")</f>
        <v>9.77</v>
      </c>
      <c r="D7" s="209">
        <f>IFERROR(VLOOKUP(F7,[1]Реестр!A:K,6,0)*H7/G7,"")</f>
        <v>145.38300000000001</v>
      </c>
      <c r="E7" s="210" t="str">
        <f>IFERROR(VLOOKUP(F7,[1]Реестр!A:K,11,0),"")</f>
        <v>1*57</v>
      </c>
      <c r="F7" s="356" t="s">
        <v>106</v>
      </c>
      <c r="G7" s="211" t="str">
        <f>IFERROR(VLOOKUP(F7,[1]Реестр!A:K,2,0),"")</f>
        <v>40</v>
      </c>
      <c r="H7" s="210">
        <v>40</v>
      </c>
      <c r="I7" s="207">
        <v>49.55</v>
      </c>
      <c r="J7" s="201" t="str">
        <f>IFERROR(VLOOKUP(O7,Реестр!#REF!,3,0)*Q7/P7,"")</f>
        <v/>
      </c>
    </row>
    <row r="8" spans="1:12" ht="18" customHeight="1" x14ac:dyDescent="0.3">
      <c r="A8" s="209">
        <v>9.75</v>
      </c>
      <c r="B8" s="209">
        <v>12.14</v>
      </c>
      <c r="C8" s="209">
        <v>36.06</v>
      </c>
      <c r="D8" s="209">
        <v>291.64</v>
      </c>
      <c r="E8" s="349" t="str">
        <f>"2/57"</f>
        <v>2/57</v>
      </c>
      <c r="F8" s="349" t="s">
        <v>665</v>
      </c>
      <c r="G8" s="211" t="str">
        <f>IFERROR(VLOOKUP(F8,[1]Реестр!A:K,2,0),"")</f>
        <v/>
      </c>
      <c r="H8" s="210">
        <v>210</v>
      </c>
      <c r="I8" s="207">
        <v>51.38</v>
      </c>
      <c r="J8" s="201" t="str">
        <f>IFERROR(VLOOKUP(O8,Реестр!#REF!,3,0)*Q8/P8,"")</f>
        <v/>
      </c>
    </row>
    <row r="9" spans="1:12" ht="18" customHeight="1" x14ac:dyDescent="0.3">
      <c r="A9" s="209">
        <f>IFERROR(VLOOKUP(F9,[1]Реестр!A:K,3,0)*H9/G9,"")</f>
        <v>0.15</v>
      </c>
      <c r="B9" s="209">
        <f>IFERROR(VLOOKUP(F9,[1]Реестр!A:K,4,0)*H9/G9,"")</f>
        <v>0.09</v>
      </c>
      <c r="C9" s="209">
        <f>IFERROR(VLOOKUP(F9,[1]Реестр!A:K,5,0)*H9/G9,"")</f>
        <v>8.58</v>
      </c>
      <c r="D9" s="209">
        <f>IFERROR(VLOOKUP(F9,[1]Реестр!A:K,6,0)*H9/G9,"")</f>
        <v>34.799999999999997</v>
      </c>
      <c r="E9" s="210" t="str">
        <f>IFERROR(VLOOKUP(F9,[1]Реестр!A:K,11,0),"")</f>
        <v>12*2</v>
      </c>
      <c r="F9" s="356" t="s">
        <v>371</v>
      </c>
      <c r="G9" s="211" t="str">
        <f>IFERROR(VLOOKUP(F9,[1]Реестр!A:K,2,0),"")</f>
        <v>100</v>
      </c>
      <c r="H9" s="210">
        <v>30</v>
      </c>
      <c r="I9" s="207">
        <v>24.59</v>
      </c>
      <c r="J9" s="201" t="str">
        <f>IFERROR(VLOOKUP(O9,Реестр!#REF!,3,0)*Q9/P9,"")</f>
        <v/>
      </c>
    </row>
    <row r="10" spans="1:12" ht="18" customHeight="1" x14ac:dyDescent="0.3">
      <c r="A10" s="209">
        <f>IFERROR(VLOOKUP(F10,[1]Реестр!A:K,3,0)*H10/G10,"")</f>
        <v>1.4</v>
      </c>
      <c r="B10" s="209">
        <f>IFERROR(VLOOKUP(F10,[1]Реестр!A:K,4,0)*H10/G10,"")</f>
        <v>1.1000000000000001</v>
      </c>
      <c r="C10" s="209">
        <f>IFERROR(VLOOKUP(F10,[1]Реестр!A:K,5,0)*H10/G10,"")</f>
        <v>16.600000000000001</v>
      </c>
      <c r="D10" s="209">
        <f>IFERROR(VLOOKUP(F10,[1]Реестр!A:K,6,0)*H10/G10,"")</f>
        <v>79</v>
      </c>
      <c r="E10" s="349" t="str">
        <f>"11/59"</f>
        <v>11/59</v>
      </c>
      <c r="F10" s="349" t="s">
        <v>357</v>
      </c>
      <c r="G10" s="211" t="str">
        <f>IFERROR(VLOOKUP(F10,[1]Реестр!A:K,2,0),"")</f>
        <v>200</v>
      </c>
      <c r="H10" s="206">
        <v>200</v>
      </c>
      <c r="I10" s="207">
        <v>22.2</v>
      </c>
      <c r="J10" s="201" t="str">
        <f>IFERROR(VLOOKUP(O10,Реестр!#REF!,3,0)*Q10/P10,"")</f>
        <v/>
      </c>
    </row>
    <row r="11" spans="1:12" ht="18.75" x14ac:dyDescent="0.3">
      <c r="A11" s="209">
        <f>IFERROR(VLOOKUP(F11,[1]Реестр!A:K,3,0)*H11/G11,"")</f>
        <v>1.32</v>
      </c>
      <c r="B11" s="209">
        <f>IFERROR(VLOOKUP(F11,[1]Реестр!A:K,4,0)*H11/G11,"")</f>
        <v>0.24</v>
      </c>
      <c r="C11" s="209">
        <f>IFERROR(VLOOKUP(F11,[1]Реестр!A:K,5,0)*H11/G11,"")</f>
        <v>6.68</v>
      </c>
      <c r="D11" s="209">
        <f>IFERROR(VLOOKUP(F11,[1]Реестр!A:K,6,0)*H11/G11,"")</f>
        <v>38.6</v>
      </c>
      <c r="E11" s="210" t="str">
        <f>IFERROR(VLOOKUP(F11,[1]Реестр!A:K,11,0),"")</f>
        <v>-</v>
      </c>
      <c r="F11" s="217" t="s">
        <v>65</v>
      </c>
      <c r="G11" s="211" t="str">
        <f>IFERROR(VLOOKUP(F11,[1]Реестр!A:K,2,0),"")</f>
        <v>100</v>
      </c>
      <c r="H11" s="206">
        <v>20</v>
      </c>
      <c r="I11" s="207">
        <v>1.8</v>
      </c>
      <c r="J11" s="206"/>
      <c r="K11" s="208"/>
    </row>
    <row r="12" spans="1:12" ht="18" customHeight="1" x14ac:dyDescent="0.3">
      <c r="A12" s="464" t="s">
        <v>16</v>
      </c>
      <c r="B12" s="464"/>
      <c r="C12" s="464"/>
      <c r="D12" s="464"/>
      <c r="E12" s="464"/>
      <c r="F12" s="464"/>
      <c r="G12" s="205"/>
      <c r="H12" s="206"/>
      <c r="I12" s="207">
        <f>SUM(I7:I11)</f>
        <v>149.52000000000001</v>
      </c>
      <c r="J12" s="206">
        <v>149.52000000000001</v>
      </c>
      <c r="K12" s="208">
        <f>I12-J12</f>
        <v>0</v>
      </c>
      <c r="L12" s="208"/>
    </row>
    <row r="13" spans="1:12" ht="18" customHeight="1" x14ac:dyDescent="0.3">
      <c r="A13" s="462" t="s">
        <v>17</v>
      </c>
      <c r="B13" s="462"/>
      <c r="C13" s="462"/>
      <c r="D13" s="462"/>
      <c r="E13" s="462"/>
      <c r="F13" s="462"/>
      <c r="G13" s="462"/>
      <c r="H13" s="462"/>
      <c r="I13" s="462"/>
      <c r="J13" s="212"/>
    </row>
    <row r="14" spans="1:12" ht="30" x14ac:dyDescent="0.3">
      <c r="A14" s="367">
        <v>1.03</v>
      </c>
      <c r="B14" s="353">
        <v>4.7699999999999996</v>
      </c>
      <c r="C14" s="353">
        <v>6.38</v>
      </c>
      <c r="D14" s="353">
        <v>68.989999999999995</v>
      </c>
      <c r="E14" s="357" t="str">
        <f>"7/80"</f>
        <v>7/80</v>
      </c>
      <c r="F14" s="228" t="s">
        <v>678</v>
      </c>
      <c r="G14" s="211" t="str">
        <f>IFERROR(VLOOKUP(F14,[2]Реестр!A:K,2,0),"")</f>
        <v/>
      </c>
      <c r="H14" s="210">
        <v>80</v>
      </c>
      <c r="I14" s="230">
        <v>41.6</v>
      </c>
      <c r="J14" s="201" t="str">
        <f>IFERROR(VLOOKUP(O14,Реестр!#REF!,3,0)*Q14/P14,"")</f>
        <v/>
      </c>
    </row>
    <row r="15" spans="1:12" ht="18" customHeight="1" x14ac:dyDescent="0.3">
      <c r="A15" s="263">
        <v>5.55</v>
      </c>
      <c r="B15" s="263">
        <v>7.8</v>
      </c>
      <c r="C15" s="263">
        <v>15.95</v>
      </c>
      <c r="D15" s="263">
        <v>199.78905478333331</v>
      </c>
      <c r="E15" s="350" t="str">
        <f>"6/70"</f>
        <v>6/70</v>
      </c>
      <c r="F15" s="350" t="s">
        <v>220</v>
      </c>
      <c r="G15" s="211" t="str">
        <f>IFERROR(VLOOKUP(F15,[2]Реестр!A:K,2,0),"")</f>
        <v>300</v>
      </c>
      <c r="H15" s="373">
        <v>250</v>
      </c>
      <c r="I15" s="374">
        <v>50</v>
      </c>
      <c r="J15" s="201" t="str">
        <f>IFERROR(VLOOKUP(O15,Реестр!#REF!,3,0)*Q15/P15,"")</f>
        <v/>
      </c>
    </row>
    <row r="16" spans="1:12" ht="18" customHeight="1" x14ac:dyDescent="0.3">
      <c r="A16" s="263">
        <v>16.579999999999998</v>
      </c>
      <c r="B16" s="263">
        <v>19.5</v>
      </c>
      <c r="C16" s="263">
        <v>68.38</v>
      </c>
      <c r="D16" s="263">
        <v>327.07</v>
      </c>
      <c r="E16" s="349" t="str">
        <f>"8/35"</f>
        <v>8/35</v>
      </c>
      <c r="F16" s="349" t="s">
        <v>549</v>
      </c>
      <c r="G16" s="211" t="str">
        <f>IFERROR(VLOOKUP(F16,[2]Реестр!A:K,2,0),"")</f>
        <v/>
      </c>
      <c r="H16" s="206">
        <v>200</v>
      </c>
      <c r="I16" s="206">
        <v>112.67</v>
      </c>
      <c r="J16" s="201" t="str">
        <f>IFERROR(VLOOKUP(O16,Реестр!#REF!,3,0)*Q16/P16,"")</f>
        <v/>
      </c>
    </row>
    <row r="17" spans="1:12" ht="18" customHeight="1" x14ac:dyDescent="0.3">
      <c r="A17" s="263">
        <v>0.14000000000000001</v>
      </c>
      <c r="B17" s="263">
        <v>0.1</v>
      </c>
      <c r="C17" s="263">
        <v>1.5</v>
      </c>
      <c r="D17" s="263">
        <v>83.962620000000015</v>
      </c>
      <c r="E17" s="349" t="str">
        <f>"11/1"</f>
        <v>11/1</v>
      </c>
      <c r="F17" s="349" t="s">
        <v>317</v>
      </c>
      <c r="G17" s="211">
        <f>IFERROR(VLOOKUP(F17,[2]Реестр!A:K,2,0),"")</f>
        <v>200</v>
      </c>
      <c r="H17" s="291">
        <v>200</v>
      </c>
      <c r="I17" s="288">
        <v>12.8</v>
      </c>
      <c r="J17" s="201"/>
    </row>
    <row r="18" spans="1:12" ht="18" customHeight="1" x14ac:dyDescent="0.3">
      <c r="A18" s="209">
        <v>2.64</v>
      </c>
      <c r="B18" s="209">
        <v>0.24</v>
      </c>
      <c r="C18" s="209">
        <v>18.72</v>
      </c>
      <c r="D18" s="209">
        <v>89.6</v>
      </c>
      <c r="E18" s="210" t="s">
        <v>471</v>
      </c>
      <c r="F18" s="217" t="s">
        <v>66</v>
      </c>
      <c r="G18" s="211" t="str">
        <f>IFERROR(VLOOKUP(F18,[2]Реестр!A:K,2,0),"")</f>
        <v>100</v>
      </c>
      <c r="H18" s="206">
        <v>40</v>
      </c>
      <c r="I18" s="207">
        <v>3.6</v>
      </c>
      <c r="J18" s="201" t="str">
        <f>IFERROR(VLOOKUP(O18,Реестр!#REF!,3,0)*Q18/P18,"")</f>
        <v/>
      </c>
    </row>
    <row r="19" spans="1:12" ht="18" customHeight="1" x14ac:dyDescent="0.3">
      <c r="A19" s="209">
        <v>2.64</v>
      </c>
      <c r="B19" s="209">
        <v>0.48</v>
      </c>
      <c r="C19" s="209">
        <v>13.36</v>
      </c>
      <c r="D19" s="209">
        <v>77.2</v>
      </c>
      <c r="E19" s="210" t="s">
        <v>471</v>
      </c>
      <c r="F19" s="217" t="s">
        <v>65</v>
      </c>
      <c r="G19" s="211" t="str">
        <f>IFERROR(VLOOKUP(F19,[2]Реестр!A:K,2,0),"")</f>
        <v>100</v>
      </c>
      <c r="H19" s="206">
        <v>40</v>
      </c>
      <c r="I19" s="207">
        <v>3.6</v>
      </c>
      <c r="J19" s="201" t="str">
        <f>IFERROR(VLOOKUP(O19,Реестр!#REF!,3,0)*Q19/P19,"")</f>
        <v/>
      </c>
    </row>
    <row r="20" spans="1:12" ht="18" customHeight="1" x14ac:dyDescent="0.3">
      <c r="A20" s="209"/>
      <c r="B20" s="209"/>
      <c r="C20" s="209"/>
      <c r="D20" s="209"/>
      <c r="E20" s="218"/>
      <c r="F20" s="217"/>
      <c r="G20" s="211"/>
      <c r="H20" s="206"/>
      <c r="I20" s="207"/>
      <c r="J20" s="201"/>
    </row>
    <row r="21" spans="1:12" ht="18.75" x14ac:dyDescent="0.3">
      <c r="A21" s="464" t="s">
        <v>16</v>
      </c>
      <c r="B21" s="464"/>
      <c r="C21" s="464"/>
      <c r="D21" s="464"/>
      <c r="E21" s="464"/>
      <c r="F21" s="464"/>
      <c r="G21" s="205"/>
      <c r="H21" s="206"/>
      <c r="I21" s="207">
        <f>SUM(I14:I20)</f>
        <v>224.26999999999998</v>
      </c>
      <c r="J21" s="206">
        <v>224.27</v>
      </c>
      <c r="K21" s="208">
        <f>J21-I21</f>
        <v>0</v>
      </c>
    </row>
    <row r="22" spans="1:12" ht="18.75" x14ac:dyDescent="0.3">
      <c r="A22" s="462" t="s">
        <v>500</v>
      </c>
      <c r="B22" s="462"/>
      <c r="C22" s="462"/>
      <c r="D22" s="462"/>
      <c r="E22" s="462"/>
      <c r="F22" s="462"/>
      <c r="G22" s="462"/>
      <c r="H22" s="462"/>
      <c r="I22" s="462"/>
      <c r="J22" s="212"/>
    </row>
    <row r="23" spans="1:12" ht="18.75" x14ac:dyDescent="0.25">
      <c r="A23" s="369">
        <v>0.24</v>
      </c>
      <c r="B23" s="369">
        <v>0.03</v>
      </c>
      <c r="C23" s="369">
        <v>0.74</v>
      </c>
      <c r="D23" s="369">
        <v>4.2</v>
      </c>
      <c r="E23" s="370" t="str">
        <f>"7/10"</f>
        <v>7/10</v>
      </c>
      <c r="F23" s="265" t="s">
        <v>679</v>
      </c>
      <c r="G23" s="211" t="str">
        <f>IFERROR(VLOOKUP(F23,[1]Реестр!A:K,2,0),"")</f>
        <v/>
      </c>
      <c r="H23" s="210">
        <v>30</v>
      </c>
      <c r="I23" s="230">
        <v>16.100000000000001</v>
      </c>
      <c r="J23" s="212"/>
    </row>
    <row r="24" spans="1:12" ht="18.75" x14ac:dyDescent="0.3">
      <c r="A24" s="348">
        <v>19.440000000000001</v>
      </c>
      <c r="B24" s="348">
        <v>21.37</v>
      </c>
      <c r="C24" s="348">
        <v>55.36</v>
      </c>
      <c r="D24" s="348">
        <v>508.5</v>
      </c>
      <c r="E24" s="349" t="str">
        <f>"8/35"</f>
        <v>8/35</v>
      </c>
      <c r="F24" s="349" t="s">
        <v>549</v>
      </c>
      <c r="G24" s="211" t="str">
        <f>IFERROR(VLOOKUP(F24,[2]Реестр!A:K,2,0),"")</f>
        <v/>
      </c>
      <c r="H24" s="372">
        <v>250</v>
      </c>
      <c r="I24" s="372">
        <v>140.84</v>
      </c>
      <c r="J24" s="201" t="str">
        <f>IFERROR(VLOOKUP(O24,Реестр!#REF!,3,0)*Q24/P24,"")</f>
        <v/>
      </c>
    </row>
    <row r="25" spans="1:12" ht="18.75" x14ac:dyDescent="0.3">
      <c r="A25" s="263">
        <v>0.14000000000000001</v>
      </c>
      <c r="B25" s="263">
        <v>0.1</v>
      </c>
      <c r="C25" s="263">
        <v>1.5</v>
      </c>
      <c r="D25" s="263">
        <v>83.962620000000015</v>
      </c>
      <c r="E25" s="349" t="str">
        <f>"11/1"</f>
        <v>11/1</v>
      </c>
      <c r="F25" s="349" t="s">
        <v>317</v>
      </c>
      <c r="G25" s="211">
        <f>IFERROR(VLOOKUP(F25,[2]Реестр!A:K,2,0),"")</f>
        <v>200</v>
      </c>
      <c r="H25" s="291">
        <v>200</v>
      </c>
      <c r="I25" s="288">
        <v>12.8</v>
      </c>
      <c r="J25" s="201"/>
    </row>
    <row r="26" spans="1:12" ht="18.75" x14ac:dyDescent="0.3">
      <c r="A26" s="209">
        <v>2.64</v>
      </c>
      <c r="B26" s="209">
        <v>0.24</v>
      </c>
      <c r="C26" s="209">
        <v>18.72</v>
      </c>
      <c r="D26" s="209">
        <v>89.6</v>
      </c>
      <c r="E26" s="210" t="s">
        <v>471</v>
      </c>
      <c r="F26" s="217" t="s">
        <v>66</v>
      </c>
      <c r="G26" s="211" t="str">
        <f>IFERROR(VLOOKUP(F26,[2]Реестр!A:K,2,0),"")</f>
        <v>100</v>
      </c>
      <c r="H26" s="206">
        <v>40</v>
      </c>
      <c r="I26" s="207">
        <v>3.6</v>
      </c>
      <c r="J26" s="201" t="str">
        <f>IFERROR(VLOOKUP(O26,Реестр!#REF!,3,0)*Q26/P26,"")</f>
        <v/>
      </c>
    </row>
    <row r="27" spans="1:12" ht="18.75" x14ac:dyDescent="0.3">
      <c r="A27" s="209">
        <v>2.64</v>
      </c>
      <c r="B27" s="209">
        <v>0.48</v>
      </c>
      <c r="C27" s="209">
        <v>13.36</v>
      </c>
      <c r="D27" s="209">
        <v>77.2</v>
      </c>
      <c r="E27" s="210" t="s">
        <v>471</v>
      </c>
      <c r="F27" s="217" t="s">
        <v>65</v>
      </c>
      <c r="G27" s="211" t="str">
        <f>IFERROR(VLOOKUP(F27,[2]Реестр!A:K,2,0),"")</f>
        <v>100</v>
      </c>
      <c r="H27" s="206">
        <v>40</v>
      </c>
      <c r="I27" s="207">
        <v>3.6</v>
      </c>
      <c r="J27" s="201"/>
    </row>
    <row r="28" spans="1:12" ht="18.75" x14ac:dyDescent="0.3">
      <c r="A28" s="209"/>
      <c r="B28" s="209"/>
      <c r="C28" s="209"/>
      <c r="D28" s="209"/>
      <c r="E28" s="210"/>
      <c r="F28" s="217"/>
      <c r="G28" s="211"/>
      <c r="H28" s="206"/>
      <c r="I28" s="207"/>
      <c r="J28" s="201"/>
    </row>
    <row r="29" spans="1:12" ht="18.75" x14ac:dyDescent="0.3">
      <c r="A29" s="453" t="s">
        <v>16</v>
      </c>
      <c r="B29" s="454"/>
      <c r="C29" s="454"/>
      <c r="D29" s="454"/>
      <c r="E29" s="454"/>
      <c r="F29" s="455"/>
      <c r="G29" s="205"/>
      <c r="H29" s="206"/>
      <c r="I29" s="207">
        <f>SUM(I23:I28)</f>
        <v>176.94</v>
      </c>
      <c r="J29" s="206">
        <v>176.94</v>
      </c>
      <c r="K29" s="208">
        <f>I29-J29</f>
        <v>0</v>
      </c>
      <c r="L29" s="208"/>
    </row>
    <row r="30" spans="1:12" ht="18.75" x14ac:dyDescent="0.3">
      <c r="A30" s="462" t="s">
        <v>501</v>
      </c>
      <c r="B30" s="462"/>
      <c r="C30" s="462"/>
      <c r="D30" s="462"/>
      <c r="E30" s="462"/>
      <c r="F30" s="462"/>
      <c r="G30" s="462"/>
      <c r="H30" s="462"/>
      <c r="I30" s="462"/>
      <c r="J30" s="201"/>
    </row>
    <row r="31" spans="1:12" ht="18.75" x14ac:dyDescent="0.3">
      <c r="A31" s="368">
        <v>1.29</v>
      </c>
      <c r="B31" s="368">
        <v>5.97</v>
      </c>
      <c r="C31" s="368">
        <v>7.97</v>
      </c>
      <c r="D31" s="368">
        <v>86.23</v>
      </c>
      <c r="E31" s="357" t="str">
        <f>"7/80"</f>
        <v>7/80</v>
      </c>
      <c r="F31" s="228" t="s">
        <v>680</v>
      </c>
      <c r="G31" s="211" t="str">
        <f>IFERROR(VLOOKUP(F31,[2]Реестр!A:K,2,0),"")</f>
        <v/>
      </c>
      <c r="H31" s="210">
        <v>100</v>
      </c>
      <c r="I31" s="230">
        <v>52.76</v>
      </c>
      <c r="J31" s="201"/>
    </row>
    <row r="32" spans="1:12" ht="18.75" x14ac:dyDescent="0.3">
      <c r="A32" s="358">
        <v>12.44</v>
      </c>
      <c r="B32" s="358">
        <v>7.77</v>
      </c>
      <c r="C32" s="358">
        <v>25.16</v>
      </c>
      <c r="D32" s="358">
        <v>208</v>
      </c>
      <c r="E32" s="359" t="str">
        <f>"6/70"</f>
        <v>6/70</v>
      </c>
      <c r="F32" s="267" t="s">
        <v>220</v>
      </c>
      <c r="G32" s="211" t="str">
        <f>IFERROR(VLOOKUP(F32,[2]Реестр!A:K,2,0),"")</f>
        <v>300</v>
      </c>
      <c r="H32" s="373">
        <v>250</v>
      </c>
      <c r="I32" s="374">
        <v>50</v>
      </c>
      <c r="J32" s="206"/>
      <c r="K32" s="208">
        <f>I38-J32</f>
        <v>265.39999999999998</v>
      </c>
    </row>
    <row r="33" spans="1:12" ht="18.75" x14ac:dyDescent="0.3">
      <c r="A33" s="360">
        <v>19.440000000000001</v>
      </c>
      <c r="B33" s="360">
        <v>21.37</v>
      </c>
      <c r="C33" s="360">
        <v>55.36</v>
      </c>
      <c r="D33" s="360">
        <v>508.5</v>
      </c>
      <c r="E33" s="357" t="str">
        <f>"8/35"</f>
        <v>8/35</v>
      </c>
      <c r="F33" s="349" t="s">
        <v>549</v>
      </c>
      <c r="G33" s="211" t="str">
        <f>IFERROR(VLOOKUP(F33,[2]Реестр!A:K,2,0),"")</f>
        <v/>
      </c>
      <c r="H33" s="372">
        <v>250</v>
      </c>
      <c r="I33" s="372">
        <v>140.84</v>
      </c>
      <c r="J33" s="212"/>
    </row>
    <row r="34" spans="1:12" ht="18.75" x14ac:dyDescent="0.3">
      <c r="A34" s="263">
        <v>0.14000000000000001</v>
      </c>
      <c r="B34" s="263">
        <v>0.1</v>
      </c>
      <c r="C34" s="263">
        <v>1.5</v>
      </c>
      <c r="D34" s="263">
        <v>83.962620000000015</v>
      </c>
      <c r="E34" s="349" t="str">
        <f>"11/1"</f>
        <v>11/1</v>
      </c>
      <c r="F34" s="349" t="s">
        <v>317</v>
      </c>
      <c r="G34" s="211">
        <f>IFERROR(VLOOKUP(F34,[2]Реестр!A:K,2,0),"")</f>
        <v>200</v>
      </c>
      <c r="H34" s="291">
        <v>200</v>
      </c>
      <c r="I34" s="288">
        <v>12.8</v>
      </c>
      <c r="J34" s="212"/>
    </row>
    <row r="35" spans="1:12" ht="18.75" x14ac:dyDescent="0.3">
      <c r="A35" s="209">
        <v>3.3</v>
      </c>
      <c r="B35" s="209">
        <v>0.3</v>
      </c>
      <c r="C35" s="209">
        <v>23.4</v>
      </c>
      <c r="D35" s="209">
        <v>112</v>
      </c>
      <c r="E35" s="210" t="s">
        <v>471</v>
      </c>
      <c r="F35" s="217" t="s">
        <v>66</v>
      </c>
      <c r="G35" s="211" t="str">
        <f>IFERROR(VLOOKUP(F35,[2]Реестр!A:K,2,0),"")</f>
        <v>100</v>
      </c>
      <c r="H35" s="206">
        <v>50</v>
      </c>
      <c r="I35" s="207">
        <v>4.5</v>
      </c>
      <c r="J35" s="212"/>
    </row>
    <row r="36" spans="1:12" ht="18.75" x14ac:dyDescent="0.3">
      <c r="A36" s="209">
        <v>3.3</v>
      </c>
      <c r="B36" s="209">
        <v>0.6</v>
      </c>
      <c r="C36" s="209">
        <v>16.7</v>
      </c>
      <c r="D36" s="209">
        <v>96.5</v>
      </c>
      <c r="E36" s="210" t="s">
        <v>471</v>
      </c>
      <c r="F36" s="217" t="s">
        <v>65</v>
      </c>
      <c r="G36" s="211" t="str">
        <f>IFERROR(VLOOKUP(F36,[2]Реестр!A:K,2,0),"")</f>
        <v>100</v>
      </c>
      <c r="H36" s="206">
        <v>50</v>
      </c>
      <c r="I36" s="207">
        <v>4.5</v>
      </c>
      <c r="J36" s="352"/>
    </row>
    <row r="37" spans="1:12" ht="18.75" x14ac:dyDescent="0.3">
      <c r="A37" s="209"/>
      <c r="B37" s="209"/>
      <c r="C37" s="209"/>
      <c r="D37" s="209"/>
      <c r="E37" s="218"/>
      <c r="F37" s="217"/>
      <c r="G37" s="211"/>
      <c r="H37" s="206"/>
      <c r="I37" s="207"/>
      <c r="J37" s="352"/>
    </row>
    <row r="38" spans="1:12" ht="18.75" x14ac:dyDescent="0.3">
      <c r="A38" s="453" t="s">
        <v>16</v>
      </c>
      <c r="B38" s="454"/>
      <c r="C38" s="454"/>
      <c r="D38" s="454"/>
      <c r="E38" s="454"/>
      <c r="F38" s="455"/>
      <c r="G38" s="205"/>
      <c r="H38" s="206"/>
      <c r="I38" s="207">
        <f>SUM(I31:I37)</f>
        <v>265.39999999999998</v>
      </c>
      <c r="J38" s="206">
        <v>265.39999999999998</v>
      </c>
      <c r="K38" s="208">
        <f>I38-J38</f>
        <v>0</v>
      </c>
    </row>
    <row r="39" spans="1:12" ht="18.75" x14ac:dyDescent="0.3">
      <c r="A39" s="462" t="s">
        <v>18</v>
      </c>
      <c r="B39" s="462"/>
      <c r="C39" s="462"/>
      <c r="D39" s="462"/>
      <c r="E39" s="462"/>
      <c r="F39" s="462"/>
      <c r="G39" s="462"/>
      <c r="H39" s="462"/>
      <c r="I39" s="462"/>
      <c r="J39" s="352"/>
    </row>
    <row r="40" spans="1:12" ht="18.75" x14ac:dyDescent="0.3">
      <c r="A40" s="462" t="s">
        <v>19</v>
      </c>
      <c r="B40" s="462"/>
      <c r="C40" s="462"/>
      <c r="D40" s="462"/>
      <c r="E40" s="462"/>
      <c r="F40" s="462"/>
      <c r="G40" s="462"/>
      <c r="H40" s="462"/>
      <c r="I40" s="462"/>
      <c r="J40" s="352"/>
    </row>
    <row r="41" spans="1:12" ht="18.75" x14ac:dyDescent="0.3">
      <c r="A41" s="209">
        <f>IFERROR(VLOOKUP(F41,[1]Реестр!A:K,3,0)*H41/G41,"")</f>
        <v>3.84</v>
      </c>
      <c r="B41" s="209">
        <f>IFERROR(VLOOKUP(F41,[1]Реестр!A:K,4,0)*H41/G41,"")</f>
        <v>10.1</v>
      </c>
      <c r="C41" s="209">
        <f>IFERROR(VLOOKUP(F41,[1]Реестр!A:K,5,0)*H41/G41,"")</f>
        <v>9.77</v>
      </c>
      <c r="D41" s="209">
        <f>IFERROR(VLOOKUP(F41,[1]Реестр!A:K,6,0)*H41/G41,"")</f>
        <v>145.38300000000001</v>
      </c>
      <c r="E41" s="210" t="str">
        <f>IFERROR(VLOOKUP(F41,[1]Реестр!A:K,11,0),"")</f>
        <v>1*57</v>
      </c>
      <c r="F41" s="356" t="s">
        <v>106</v>
      </c>
      <c r="G41" s="211" t="str">
        <f>IFERROR(VLOOKUP(F41,[1]Реестр!A:K,2,0),"")</f>
        <v>40</v>
      </c>
      <c r="H41" s="210">
        <v>40</v>
      </c>
      <c r="I41" s="207">
        <v>49.55</v>
      </c>
      <c r="J41" s="352" t="s">
        <v>20</v>
      </c>
    </row>
    <row r="42" spans="1:12" ht="18.75" x14ac:dyDescent="0.3">
      <c r="A42" s="209">
        <v>9.75</v>
      </c>
      <c r="B42" s="209">
        <v>12.14</v>
      </c>
      <c r="C42" s="209">
        <v>36.06</v>
      </c>
      <c r="D42" s="209">
        <v>291.64</v>
      </c>
      <c r="E42" s="349" t="str">
        <f>"2/57"</f>
        <v>2/57</v>
      </c>
      <c r="F42" s="349" t="s">
        <v>665</v>
      </c>
      <c r="G42" s="211" t="str">
        <f>IFERROR(VLOOKUP(F42,[1]Реестр!A:K,2,0),"")</f>
        <v/>
      </c>
      <c r="H42" s="210">
        <v>210</v>
      </c>
      <c r="I42" s="207">
        <v>51.38</v>
      </c>
      <c r="J42" s="352" t="s">
        <v>537</v>
      </c>
      <c r="K42" s="237"/>
      <c r="L42" s="237"/>
    </row>
    <row r="43" spans="1:12" ht="18.75" x14ac:dyDescent="0.3">
      <c r="A43" s="209">
        <f>IFERROR(VLOOKUP(F43,[1]Реестр!A:K,3,0)*H43/G43,"")</f>
        <v>0.15</v>
      </c>
      <c r="B43" s="209">
        <f>IFERROR(VLOOKUP(F43,[1]Реестр!A:K,4,0)*H43/G43,"")</f>
        <v>0.09</v>
      </c>
      <c r="C43" s="209">
        <f>IFERROR(VLOOKUP(F43,[1]Реестр!A:K,5,0)*H43/G43,"")</f>
        <v>8.58</v>
      </c>
      <c r="D43" s="209">
        <f>IFERROR(VLOOKUP(F43,[1]Реестр!A:K,6,0)*H43/G43,"")</f>
        <v>34.799999999999997</v>
      </c>
      <c r="E43" s="210" t="str">
        <f>IFERROR(VLOOKUP(F43,[1]Реестр!A:K,11,0),"")</f>
        <v>12*2</v>
      </c>
      <c r="F43" s="356" t="s">
        <v>371</v>
      </c>
      <c r="G43" s="211" t="str">
        <f>IFERROR(VLOOKUP(F43,[1]Реестр!A:K,2,0),"")</f>
        <v>100</v>
      </c>
      <c r="H43" s="210">
        <v>30</v>
      </c>
      <c r="I43" s="207">
        <v>24.59</v>
      </c>
      <c r="J43" s="352" t="s">
        <v>477</v>
      </c>
      <c r="K43" s="237"/>
      <c r="L43" s="237"/>
    </row>
    <row r="44" spans="1:12" ht="18.75" x14ac:dyDescent="0.3">
      <c r="A44" s="209">
        <f>IFERROR(VLOOKUP(F44,[1]Реестр!A:K,3,0)*H44/G44,"")</f>
        <v>1.4</v>
      </c>
      <c r="B44" s="209">
        <f>IFERROR(VLOOKUP(F44,[1]Реестр!A:K,4,0)*H44/G44,"")</f>
        <v>1.1000000000000001</v>
      </c>
      <c r="C44" s="209">
        <f>IFERROR(VLOOKUP(F44,[1]Реестр!A:K,5,0)*H44/G44,"")</f>
        <v>16.600000000000001</v>
      </c>
      <c r="D44" s="209">
        <f>IFERROR(VLOOKUP(F44,[1]Реестр!A:K,6,0)*H44/G44,"")</f>
        <v>79</v>
      </c>
      <c r="E44" s="349" t="str">
        <f>"11/59"</f>
        <v>11/59</v>
      </c>
      <c r="F44" s="349" t="s">
        <v>357</v>
      </c>
      <c r="G44" s="211" t="str">
        <f>IFERROR(VLOOKUP(F44,[1]Реестр!A:K,2,0),"")</f>
        <v>200</v>
      </c>
      <c r="H44" s="375">
        <v>200</v>
      </c>
      <c r="I44" s="376">
        <v>22.2</v>
      </c>
      <c r="J44" s="352" t="s">
        <v>479</v>
      </c>
      <c r="K44" s="237"/>
      <c r="L44" s="237"/>
    </row>
    <row r="45" spans="1:12" ht="18.75" x14ac:dyDescent="0.3">
      <c r="A45" s="209">
        <f>IFERROR(VLOOKUP(F45,[1]Реестр!A:K,3,0)*H45/G45,"")</f>
        <v>1.32</v>
      </c>
      <c r="B45" s="209">
        <f>IFERROR(VLOOKUP(F45,[1]Реестр!A:K,4,0)*H45/G45,"")</f>
        <v>0.24</v>
      </c>
      <c r="C45" s="209">
        <f>IFERROR(VLOOKUP(F45,[1]Реестр!A:K,5,0)*H45/G45,"")</f>
        <v>6.68</v>
      </c>
      <c r="D45" s="209">
        <f>IFERROR(VLOOKUP(F45,[1]Реестр!A:K,6,0)*H45/G45,"")</f>
        <v>38.6</v>
      </c>
      <c r="E45" s="210" t="str">
        <f>IFERROR(VLOOKUP(F45,[1]Реестр!A:K,11,0),"")</f>
        <v>-</v>
      </c>
      <c r="F45" s="217" t="s">
        <v>65</v>
      </c>
      <c r="G45" s="211" t="str">
        <f>IFERROR(VLOOKUP(F45,[1]Реестр!A:K,2,0),"")</f>
        <v>100</v>
      </c>
      <c r="H45" s="206">
        <v>20</v>
      </c>
      <c r="I45" s="207">
        <v>1.8</v>
      </c>
      <c r="J45" s="352" t="s">
        <v>475</v>
      </c>
      <c r="K45" s="238"/>
      <c r="L45" s="237"/>
    </row>
    <row r="46" spans="1:12" ht="18.75" x14ac:dyDescent="0.3">
      <c r="A46" s="465" t="s">
        <v>25</v>
      </c>
      <c r="B46" s="466"/>
      <c r="C46" s="466"/>
      <c r="D46" s="466"/>
      <c r="E46" s="466"/>
      <c r="F46" s="466"/>
      <c r="G46" s="466"/>
      <c r="H46" s="466"/>
      <c r="I46" s="467"/>
      <c r="J46" s="352"/>
    </row>
    <row r="47" spans="1:12" s="234" customFormat="1" ht="30" x14ac:dyDescent="0.25">
      <c r="A47" s="367">
        <v>1.03</v>
      </c>
      <c r="B47" s="353">
        <v>4.7699999999999996</v>
      </c>
      <c r="C47" s="353">
        <v>6.38</v>
      </c>
      <c r="D47" s="353">
        <v>68.989999999999995</v>
      </c>
      <c r="E47" s="357" t="str">
        <f>"7/80"</f>
        <v>7/80</v>
      </c>
      <c r="F47" s="228" t="s">
        <v>678</v>
      </c>
      <c r="G47" s="211" t="str">
        <f>IFERROR(VLOOKUP(F47,[2]Реестр!A:K,2,0),"")</f>
        <v/>
      </c>
      <c r="H47" s="210">
        <v>80</v>
      </c>
      <c r="I47" s="230">
        <v>41.6</v>
      </c>
      <c r="J47" s="239" t="s">
        <v>538</v>
      </c>
    </row>
    <row r="48" spans="1:12" ht="18.75" x14ac:dyDescent="0.3">
      <c r="A48" s="263">
        <v>5.55</v>
      </c>
      <c r="B48" s="263">
        <v>7.8</v>
      </c>
      <c r="C48" s="263">
        <v>15.95</v>
      </c>
      <c r="D48" s="263">
        <v>199.78905478333331</v>
      </c>
      <c r="E48" s="350" t="str">
        <f>"6/70"</f>
        <v>6/70</v>
      </c>
      <c r="F48" s="350" t="s">
        <v>220</v>
      </c>
      <c r="G48" s="211" t="str">
        <f>IFERROR(VLOOKUP(F48,[2]Реестр!A:K,2,0),"")</f>
        <v>300</v>
      </c>
      <c r="H48" s="373">
        <v>250</v>
      </c>
      <c r="I48" s="374">
        <v>50</v>
      </c>
      <c r="J48" s="352" t="s">
        <v>478</v>
      </c>
    </row>
    <row r="49" spans="1:11" ht="18.75" x14ac:dyDescent="0.3">
      <c r="A49" s="263">
        <v>16.579999999999998</v>
      </c>
      <c r="B49" s="263">
        <v>19.5</v>
      </c>
      <c r="C49" s="263">
        <v>68.38</v>
      </c>
      <c r="D49" s="263">
        <v>327.07</v>
      </c>
      <c r="E49" s="349" t="str">
        <f>"8/35"</f>
        <v>8/35</v>
      </c>
      <c r="F49" s="349" t="s">
        <v>549</v>
      </c>
      <c r="G49" s="211" t="str">
        <f>IFERROR(VLOOKUP(F49,[2]Реестр!A:K,2,0),"")</f>
        <v/>
      </c>
      <c r="H49" s="206">
        <v>200</v>
      </c>
      <c r="I49" s="206">
        <v>112.67</v>
      </c>
      <c r="J49" s="352" t="s">
        <v>537</v>
      </c>
    </row>
    <row r="50" spans="1:11" ht="18.75" x14ac:dyDescent="0.3">
      <c r="A50" s="263">
        <v>0.14000000000000001</v>
      </c>
      <c r="B50" s="263">
        <v>0.1</v>
      </c>
      <c r="C50" s="263">
        <v>1.5</v>
      </c>
      <c r="D50" s="263">
        <v>83.962620000000015</v>
      </c>
      <c r="E50" s="349" t="str">
        <f>"11/1"</f>
        <v>11/1</v>
      </c>
      <c r="F50" s="349" t="s">
        <v>317</v>
      </c>
      <c r="G50" s="211">
        <f>IFERROR(VLOOKUP(F50,[2]Реестр!A:K,2,0),"")</f>
        <v>200</v>
      </c>
      <c r="H50" s="291">
        <v>200</v>
      </c>
      <c r="I50" s="288">
        <v>12.8</v>
      </c>
      <c r="J50" s="352" t="s">
        <v>29</v>
      </c>
    </row>
    <row r="51" spans="1:11" ht="18.75" x14ac:dyDescent="0.3">
      <c r="A51" s="209">
        <v>2.64</v>
      </c>
      <c r="B51" s="209">
        <v>0.24</v>
      </c>
      <c r="C51" s="209">
        <v>18.72</v>
      </c>
      <c r="D51" s="209">
        <v>89.6</v>
      </c>
      <c r="E51" s="210" t="s">
        <v>471</v>
      </c>
      <c r="F51" s="217" t="s">
        <v>66</v>
      </c>
      <c r="G51" s="211" t="str">
        <f>IFERROR(VLOOKUP(F51,[2]Реестр!A:K,2,0),"")</f>
        <v>100</v>
      </c>
      <c r="H51" s="206">
        <v>40</v>
      </c>
      <c r="I51" s="207">
        <v>3.6</v>
      </c>
      <c r="J51" s="352" t="s">
        <v>479</v>
      </c>
    </row>
    <row r="52" spans="1:11" ht="18.75" x14ac:dyDescent="0.3">
      <c r="A52" s="209">
        <v>2.64</v>
      </c>
      <c r="B52" s="209">
        <v>0.48</v>
      </c>
      <c r="C52" s="209">
        <v>13.36</v>
      </c>
      <c r="D52" s="209">
        <v>77.2</v>
      </c>
      <c r="E52" s="210" t="s">
        <v>471</v>
      </c>
      <c r="F52" s="217" t="s">
        <v>65</v>
      </c>
      <c r="G52" s="211" t="str">
        <f>IFERROR(VLOOKUP(F52,[2]Реестр!A:K,2,0),"")</f>
        <v>100</v>
      </c>
      <c r="H52" s="206">
        <v>40</v>
      </c>
      <c r="I52" s="207">
        <v>3.6</v>
      </c>
      <c r="J52" s="352" t="s">
        <v>539</v>
      </c>
    </row>
    <row r="53" spans="1:11" ht="18.75" x14ac:dyDescent="0.3">
      <c r="A53" s="209"/>
      <c r="B53" s="209"/>
      <c r="C53" s="209"/>
      <c r="D53" s="209"/>
      <c r="E53" s="218"/>
      <c r="F53" s="217"/>
      <c r="G53" s="211"/>
      <c r="H53" s="206"/>
      <c r="I53" s="207"/>
      <c r="J53" s="352" t="s">
        <v>540</v>
      </c>
    </row>
    <row r="54" spans="1:11" ht="18.75" x14ac:dyDescent="0.3">
      <c r="A54" s="464" t="s">
        <v>16</v>
      </c>
      <c r="B54" s="464"/>
      <c r="C54" s="464"/>
      <c r="D54" s="464"/>
      <c r="E54" s="464"/>
      <c r="F54" s="464"/>
      <c r="G54" s="206"/>
      <c r="H54" s="206"/>
      <c r="I54" s="207">
        <f>SUM(I41:I45,I47:I53)</f>
        <v>373.79000000000008</v>
      </c>
      <c r="J54" s="206">
        <v>373.79</v>
      </c>
      <c r="K54" s="208">
        <f>I54-J54</f>
        <v>0</v>
      </c>
    </row>
    <row r="55" spans="1:11" ht="18.75" x14ac:dyDescent="0.3">
      <c r="A55" s="465" t="s">
        <v>33</v>
      </c>
      <c r="B55" s="466"/>
      <c r="C55" s="466"/>
      <c r="D55" s="466"/>
      <c r="E55" s="466"/>
      <c r="F55" s="466"/>
      <c r="G55" s="466"/>
      <c r="H55" s="466"/>
      <c r="I55" s="467"/>
      <c r="J55" s="352"/>
    </row>
    <row r="56" spans="1:11" ht="18.75" x14ac:dyDescent="0.3">
      <c r="A56" s="465" t="s">
        <v>19</v>
      </c>
      <c r="B56" s="466"/>
      <c r="C56" s="466"/>
      <c r="D56" s="466"/>
      <c r="E56" s="466"/>
      <c r="F56" s="466"/>
      <c r="G56" s="466"/>
      <c r="H56" s="466"/>
      <c r="I56" s="467"/>
      <c r="J56" s="352"/>
    </row>
    <row r="57" spans="1:11" ht="18.75" x14ac:dyDescent="0.3">
      <c r="A57" s="209">
        <f>IFERROR(VLOOKUP(F57,[1]Реестр!A:K,3,0)*H57/G57,"")</f>
        <v>5.08</v>
      </c>
      <c r="B57" s="209">
        <f>IFERROR(VLOOKUP(F57,[1]Реестр!A:K,4,0)*H57/G57,"")</f>
        <v>11.55</v>
      </c>
      <c r="C57" s="209">
        <f>IFERROR(VLOOKUP(F57,[1]Реестр!A:K,5,0)*H57/G57,"")</f>
        <v>9.9700000000000006</v>
      </c>
      <c r="D57" s="209">
        <f>IFERROR(VLOOKUP(F57,[1]Реестр!A:K,6,0)*H57/G57,"")</f>
        <v>164.15</v>
      </c>
      <c r="E57" s="210" t="str">
        <f>IFERROR(VLOOKUP(F57,[1]Реестр!A:K,11,0),"")</f>
        <v>1*51</v>
      </c>
      <c r="F57" s="356" t="s">
        <v>91</v>
      </c>
      <c r="G57" s="211" t="str">
        <f>IFERROR(VLOOKUP(F57,[1]Реестр!A:K,2,0),"")</f>
        <v>45</v>
      </c>
      <c r="H57" s="206">
        <v>45</v>
      </c>
      <c r="I57" s="207">
        <v>57.2</v>
      </c>
      <c r="J57" s="352" t="s">
        <v>20</v>
      </c>
    </row>
    <row r="58" spans="1:11" ht="18.75" x14ac:dyDescent="0.3">
      <c r="A58" s="347">
        <v>10.61</v>
      </c>
      <c r="B58" s="347">
        <v>10.17</v>
      </c>
      <c r="C58" s="347">
        <v>47.32</v>
      </c>
      <c r="D58" s="347">
        <v>321.17797790000003</v>
      </c>
      <c r="E58" s="349" t="str">
        <f>"2/57"</f>
        <v>2/57</v>
      </c>
      <c r="F58" s="349" t="s">
        <v>665</v>
      </c>
      <c r="G58" s="211" t="str">
        <f>IFERROR(VLOOKUP(F58,[1]Реестр!A:K,2,0),"")</f>
        <v/>
      </c>
      <c r="H58" s="210">
        <v>250</v>
      </c>
      <c r="I58" s="207">
        <v>61.16</v>
      </c>
      <c r="J58" s="352" t="s">
        <v>537</v>
      </c>
    </row>
    <row r="59" spans="1:11" ht="18.75" x14ac:dyDescent="0.3">
      <c r="A59" s="209">
        <f>IFERROR(VLOOKUP(F59,[1]Реестр!A:K,3,0)*H59/G59,"")</f>
        <v>0.2</v>
      </c>
      <c r="B59" s="209">
        <f>IFERROR(VLOOKUP(F59,[1]Реестр!A:K,4,0)*H59/G59,"")</f>
        <v>0.12</v>
      </c>
      <c r="C59" s="209">
        <f>IFERROR(VLOOKUP(F59,[1]Реестр!A:K,5,0)*H59/G59,"")</f>
        <v>11.44</v>
      </c>
      <c r="D59" s="209">
        <f>IFERROR(VLOOKUP(F59,[1]Реестр!A:K,6,0)*H59/G59,"")</f>
        <v>46.4</v>
      </c>
      <c r="E59" s="210" t="str">
        <f>IFERROR(VLOOKUP(F59,[1]Реестр!A:K,11,0),"")</f>
        <v>12*2</v>
      </c>
      <c r="F59" s="356" t="s">
        <v>371</v>
      </c>
      <c r="G59" s="211" t="str">
        <f>IFERROR(VLOOKUP(F59,[1]Реестр!A:K,2,0),"")</f>
        <v>100</v>
      </c>
      <c r="H59" s="210">
        <v>40</v>
      </c>
      <c r="I59" s="207">
        <v>32.78</v>
      </c>
      <c r="J59" s="352" t="s">
        <v>477</v>
      </c>
    </row>
    <row r="60" spans="1:11" ht="18.75" x14ac:dyDescent="0.3">
      <c r="A60" s="209">
        <f>IFERROR(VLOOKUP(F60,[1]Реестр!A:K,3,0)*H60/G60,"")</f>
        <v>1.4</v>
      </c>
      <c r="B60" s="209">
        <f>IFERROR(VLOOKUP(F60,[1]Реестр!A:K,4,0)*H60/G60,"")</f>
        <v>1.1000000000000001</v>
      </c>
      <c r="C60" s="209">
        <f>IFERROR(VLOOKUP(F60,[1]Реестр!A:K,5,0)*H60/G60,"")</f>
        <v>16.600000000000001</v>
      </c>
      <c r="D60" s="209">
        <f>IFERROR(VLOOKUP(F60,[1]Реестр!A:K,6,0)*H60/G60,"")</f>
        <v>79</v>
      </c>
      <c r="E60" s="349" t="str">
        <f>"11/59"</f>
        <v>11/59</v>
      </c>
      <c r="F60" s="349" t="s">
        <v>357</v>
      </c>
      <c r="G60" s="211" t="str">
        <f>IFERROR(VLOOKUP(F60,[1]Реестр!A:K,2,0),"")</f>
        <v>200</v>
      </c>
      <c r="H60" s="375">
        <v>200</v>
      </c>
      <c r="I60" s="376">
        <v>22.2</v>
      </c>
      <c r="J60" s="352" t="s">
        <v>541</v>
      </c>
      <c r="K60" s="237"/>
    </row>
    <row r="61" spans="1:11" ht="18.75" x14ac:dyDescent="0.3">
      <c r="A61" s="209">
        <f>IFERROR(VLOOKUP(F61,[1]Реестр!A:K,3,0)*H61/G61,"")</f>
        <v>2.64</v>
      </c>
      <c r="B61" s="209">
        <f>IFERROR(VLOOKUP(F61,[1]Реестр!A:K,4,0)*H61/G61,"")</f>
        <v>0.48</v>
      </c>
      <c r="C61" s="209">
        <f>IFERROR(VLOOKUP(F61,[1]Реестр!A:K,5,0)*H61/G61,"")</f>
        <v>13.36</v>
      </c>
      <c r="D61" s="209">
        <f>IFERROR(VLOOKUP(F61,[1]Реестр!A:K,6,0)*H61/G61,"")</f>
        <v>77.2</v>
      </c>
      <c r="E61" s="210" t="str">
        <f>IFERROR(VLOOKUP(F61,[1]Реестр!A:K,11,0),"")</f>
        <v>-</v>
      </c>
      <c r="F61" s="217" t="s">
        <v>65</v>
      </c>
      <c r="G61" s="211" t="str">
        <f>IFERROR(VLOOKUP(F61,[1]Реестр!A:K,2,0),"")</f>
        <v>100</v>
      </c>
      <c r="H61" s="206">
        <v>40</v>
      </c>
      <c r="I61" s="207">
        <v>3.6</v>
      </c>
      <c r="J61" s="352" t="s">
        <v>475</v>
      </c>
      <c r="K61" s="237"/>
    </row>
    <row r="62" spans="1:11" ht="18.75" x14ac:dyDescent="0.3">
      <c r="A62" s="465" t="s">
        <v>25</v>
      </c>
      <c r="B62" s="466"/>
      <c r="C62" s="466"/>
      <c r="D62" s="466"/>
      <c r="E62" s="466"/>
      <c r="F62" s="466"/>
      <c r="G62" s="466"/>
      <c r="H62" s="466"/>
      <c r="I62" s="467"/>
      <c r="J62" s="201" t="str">
        <f>IFERROR(VLOOKUP(O62,Реестр!#REF!,3,0)*Q62/P62,"")</f>
        <v/>
      </c>
      <c r="K62" s="237"/>
    </row>
    <row r="63" spans="1:11" s="234" customFormat="1" ht="18.75" x14ac:dyDescent="0.25">
      <c r="A63" s="368">
        <v>1.29</v>
      </c>
      <c r="B63" s="368">
        <v>5.97</v>
      </c>
      <c r="C63" s="368">
        <v>7.97</v>
      </c>
      <c r="D63" s="368">
        <v>86.23</v>
      </c>
      <c r="E63" s="357" t="str">
        <f>"7/80"</f>
        <v>7/80</v>
      </c>
      <c r="F63" s="228" t="s">
        <v>680</v>
      </c>
      <c r="G63" s="211" t="str">
        <f>IFERROR(VLOOKUP(F63,[2]Реестр!A:K,2,0),"")</f>
        <v/>
      </c>
      <c r="H63" s="210">
        <v>100</v>
      </c>
      <c r="I63" s="230">
        <v>52.76</v>
      </c>
      <c r="J63" s="239" t="s">
        <v>538</v>
      </c>
      <c r="K63" s="240"/>
    </row>
    <row r="64" spans="1:11" ht="18.75" x14ac:dyDescent="0.3">
      <c r="A64" s="263">
        <v>12.44</v>
      </c>
      <c r="B64" s="263">
        <v>7.77</v>
      </c>
      <c r="C64" s="263">
        <v>25.16</v>
      </c>
      <c r="D64" s="263">
        <v>208</v>
      </c>
      <c r="E64" s="267" t="str">
        <f>"6/70"</f>
        <v>6/70</v>
      </c>
      <c r="F64" s="267" t="s">
        <v>220</v>
      </c>
      <c r="G64" s="211" t="str">
        <f>IFERROR(VLOOKUP(F64,[2]Реестр!A:K,2,0),"")</f>
        <v>300</v>
      </c>
      <c r="H64" s="373">
        <v>250</v>
      </c>
      <c r="I64" s="374">
        <v>50</v>
      </c>
      <c r="J64" s="352" t="s">
        <v>478</v>
      </c>
      <c r="K64" s="237"/>
    </row>
    <row r="65" spans="1:12" ht="18.75" x14ac:dyDescent="0.3">
      <c r="A65" s="348">
        <v>19.440000000000001</v>
      </c>
      <c r="B65" s="348">
        <v>21.37</v>
      </c>
      <c r="C65" s="348">
        <v>55.36</v>
      </c>
      <c r="D65" s="348">
        <v>508.5</v>
      </c>
      <c r="E65" s="349" t="str">
        <f>"8/35"</f>
        <v>8/35</v>
      </c>
      <c r="F65" s="349" t="s">
        <v>549</v>
      </c>
      <c r="G65" s="211" t="str">
        <f>IFERROR(VLOOKUP(F65,[2]Реестр!A:K,2,0),"")</f>
        <v/>
      </c>
      <c r="H65" s="372">
        <v>250</v>
      </c>
      <c r="I65" s="372">
        <v>140.84</v>
      </c>
      <c r="J65" s="352" t="s">
        <v>537</v>
      </c>
      <c r="K65" s="237"/>
    </row>
    <row r="66" spans="1:12" ht="18.75" x14ac:dyDescent="0.3">
      <c r="A66" s="263">
        <v>0.14000000000000001</v>
      </c>
      <c r="B66" s="263">
        <v>0.1</v>
      </c>
      <c r="C66" s="263">
        <v>1.5</v>
      </c>
      <c r="D66" s="263">
        <v>83.962620000000015</v>
      </c>
      <c r="E66" s="349" t="str">
        <f>"11/1"</f>
        <v>11/1</v>
      </c>
      <c r="F66" s="349" t="s">
        <v>317</v>
      </c>
      <c r="G66" s="211">
        <f>IFERROR(VLOOKUP(F66,[2]Реестр!A:K,2,0),"")</f>
        <v>200</v>
      </c>
      <c r="H66" s="291">
        <v>200</v>
      </c>
      <c r="I66" s="288">
        <v>12.8</v>
      </c>
      <c r="J66" s="352" t="s">
        <v>29</v>
      </c>
      <c r="K66" s="237"/>
    </row>
    <row r="67" spans="1:12" ht="18.75" x14ac:dyDescent="0.3">
      <c r="A67" s="209">
        <v>3.3</v>
      </c>
      <c r="B67" s="209">
        <v>0.3</v>
      </c>
      <c r="C67" s="209">
        <v>23.4</v>
      </c>
      <c r="D67" s="209">
        <v>112</v>
      </c>
      <c r="E67" s="210" t="s">
        <v>471</v>
      </c>
      <c r="F67" s="217" t="s">
        <v>66</v>
      </c>
      <c r="G67" s="211" t="str">
        <f>IFERROR(VLOOKUP(F67,[2]Реестр!A:K,2,0),"")</f>
        <v>100</v>
      </c>
      <c r="H67" s="206">
        <v>50</v>
      </c>
      <c r="I67" s="207">
        <v>4.5</v>
      </c>
      <c r="J67" s="352" t="s">
        <v>479</v>
      </c>
      <c r="K67" s="208"/>
    </row>
    <row r="68" spans="1:12" ht="18.75" x14ac:dyDescent="0.3">
      <c r="A68" s="209">
        <v>3.3</v>
      </c>
      <c r="B68" s="209">
        <v>0.6</v>
      </c>
      <c r="C68" s="209">
        <v>16.7</v>
      </c>
      <c r="D68" s="209">
        <v>96.5</v>
      </c>
      <c r="E68" s="210" t="s">
        <v>471</v>
      </c>
      <c r="F68" s="217" t="s">
        <v>65</v>
      </c>
      <c r="G68" s="211" t="str">
        <f>IFERROR(VLOOKUP(F68,[2]Реестр!A:K,2,0),"")</f>
        <v>100</v>
      </c>
      <c r="H68" s="206">
        <v>50</v>
      </c>
      <c r="I68" s="207">
        <v>4.5</v>
      </c>
      <c r="J68" s="352" t="s">
        <v>23</v>
      </c>
      <c r="L68" s="208"/>
    </row>
    <row r="69" spans="1:12" ht="18.75" x14ac:dyDescent="0.3">
      <c r="A69" s="209"/>
      <c r="B69" s="209"/>
      <c r="C69" s="209"/>
      <c r="D69" s="209"/>
      <c r="E69" s="218"/>
      <c r="F69" s="217"/>
      <c r="G69" s="211"/>
      <c r="H69" s="206"/>
      <c r="I69" s="207"/>
      <c r="J69" s="352" t="s">
        <v>540</v>
      </c>
    </row>
    <row r="70" spans="1:12" ht="18" customHeight="1" x14ac:dyDescent="0.3">
      <c r="A70" s="464" t="s">
        <v>16</v>
      </c>
      <c r="B70" s="464"/>
      <c r="C70" s="464"/>
      <c r="D70" s="464"/>
      <c r="E70" s="464"/>
      <c r="F70" s="464"/>
      <c r="G70" s="206"/>
      <c r="H70" s="206"/>
      <c r="I70" s="207">
        <f>SUM(I57:I61)+SUM(I63:I69)</f>
        <v>442.33999999999992</v>
      </c>
      <c r="J70" s="201">
        <v>442.34</v>
      </c>
      <c r="K70" s="208">
        <f>J70-I70</f>
        <v>0</v>
      </c>
    </row>
    <row r="71" spans="1:12" ht="18.75" x14ac:dyDescent="0.3">
      <c r="A71" s="465" t="s">
        <v>34</v>
      </c>
      <c r="B71" s="466"/>
      <c r="C71" s="466"/>
      <c r="D71" s="466"/>
      <c r="E71" s="466"/>
      <c r="F71" s="466"/>
      <c r="G71" s="466"/>
      <c r="H71" s="466"/>
      <c r="I71" s="467"/>
      <c r="J71" s="206"/>
      <c r="K71" s="208"/>
    </row>
    <row r="72" spans="1:12" ht="18.75" x14ac:dyDescent="0.25">
      <c r="A72" s="369">
        <v>0.24</v>
      </c>
      <c r="B72" s="369">
        <v>0.03</v>
      </c>
      <c r="C72" s="369">
        <v>0.74</v>
      </c>
      <c r="D72" s="369">
        <v>4.2</v>
      </c>
      <c r="E72" s="370" t="str">
        <f>"7/10"</f>
        <v>7/10</v>
      </c>
      <c r="F72" s="265" t="s">
        <v>679</v>
      </c>
      <c r="G72" s="211" t="str">
        <f>IFERROR(VLOOKUP(F72,[1]Реестр!A:K,2,0),"")</f>
        <v/>
      </c>
      <c r="H72" s="210">
        <v>30</v>
      </c>
      <c r="I72" s="230">
        <v>16.100000000000001</v>
      </c>
    </row>
    <row r="73" spans="1:12" ht="18.75" x14ac:dyDescent="0.3">
      <c r="A73" s="348">
        <v>19.440000000000001</v>
      </c>
      <c r="B73" s="348">
        <v>21.37</v>
      </c>
      <c r="C73" s="348">
        <v>55.36</v>
      </c>
      <c r="D73" s="348">
        <v>508.5</v>
      </c>
      <c r="E73" s="349" t="str">
        <f>"8/35"</f>
        <v>8/35</v>
      </c>
      <c r="F73" s="349" t="s">
        <v>549</v>
      </c>
      <c r="G73" s="211" t="str">
        <f>IFERROR(VLOOKUP(F73,[2]Реестр!A:K,2,0),"")</f>
        <v/>
      </c>
      <c r="H73" s="372">
        <v>250</v>
      </c>
      <c r="I73" s="372">
        <v>140.84</v>
      </c>
    </row>
    <row r="74" spans="1:12" ht="18.75" x14ac:dyDescent="0.3">
      <c r="A74" s="263">
        <v>0.14000000000000001</v>
      </c>
      <c r="B74" s="263">
        <v>0.1</v>
      </c>
      <c r="C74" s="263">
        <v>1.5</v>
      </c>
      <c r="D74" s="263">
        <v>83.962620000000015</v>
      </c>
      <c r="E74" s="349" t="str">
        <f>"11/1"</f>
        <v>11/1</v>
      </c>
      <c r="F74" s="349" t="s">
        <v>317</v>
      </c>
      <c r="G74" s="211">
        <f>IFERROR(VLOOKUP(F74,[2]Реестр!A:K,2,0),"")</f>
        <v>200</v>
      </c>
      <c r="H74" s="291">
        <v>200</v>
      </c>
      <c r="I74" s="288">
        <v>12.8</v>
      </c>
    </row>
    <row r="75" spans="1:12" ht="18.75" x14ac:dyDescent="0.3">
      <c r="A75" s="209">
        <v>2.64</v>
      </c>
      <c r="B75" s="209">
        <v>0.24</v>
      </c>
      <c r="C75" s="209">
        <v>18.72</v>
      </c>
      <c r="D75" s="209">
        <v>89.6</v>
      </c>
      <c r="E75" s="210" t="s">
        <v>471</v>
      </c>
      <c r="F75" s="217" t="s">
        <v>66</v>
      </c>
      <c r="G75" s="211" t="str">
        <f>IFERROR(VLOOKUP(F75,[2]Реестр!A:K,2,0),"")</f>
        <v>100</v>
      </c>
      <c r="H75" s="206">
        <v>40</v>
      </c>
      <c r="I75" s="207">
        <v>3.6</v>
      </c>
    </row>
    <row r="76" spans="1:12" ht="18.75" x14ac:dyDescent="0.3">
      <c r="A76" s="209">
        <v>2.64</v>
      </c>
      <c r="B76" s="209">
        <v>0.48</v>
      </c>
      <c r="C76" s="209">
        <v>13.36</v>
      </c>
      <c r="D76" s="209">
        <v>77.2</v>
      </c>
      <c r="E76" s="210" t="s">
        <v>471</v>
      </c>
      <c r="F76" s="217" t="s">
        <v>65</v>
      </c>
      <c r="G76" s="211" t="str">
        <f>IFERROR(VLOOKUP(F76,[2]Реестр!A:K,2,0),"")</f>
        <v>100</v>
      </c>
      <c r="H76" s="206">
        <v>40</v>
      </c>
      <c r="I76" s="207">
        <v>3.6</v>
      </c>
    </row>
    <row r="77" spans="1:12" ht="18.75" x14ac:dyDescent="0.3">
      <c r="A77" s="209"/>
      <c r="B77" s="209"/>
      <c r="C77" s="209"/>
      <c r="D77" s="209"/>
      <c r="E77" s="210"/>
      <c r="F77" s="217"/>
      <c r="G77" s="211"/>
      <c r="H77" s="206"/>
      <c r="I77" s="207"/>
    </row>
    <row r="78" spans="1:12" ht="18.75" x14ac:dyDescent="0.3">
      <c r="A78" s="453" t="s">
        <v>16</v>
      </c>
      <c r="B78" s="454"/>
      <c r="C78" s="454"/>
      <c r="D78" s="454"/>
      <c r="E78" s="454"/>
      <c r="F78" s="455"/>
      <c r="G78" s="205"/>
      <c r="H78" s="206"/>
      <c r="I78" s="207">
        <f>SUM(I72:I77)</f>
        <v>176.94</v>
      </c>
      <c r="J78" s="215">
        <v>128.56</v>
      </c>
      <c r="L78" s="208">
        <f>J78-I78</f>
        <v>-48.379999999999995</v>
      </c>
    </row>
    <row r="79" spans="1:12" ht="18.75" x14ac:dyDescent="0.25">
      <c r="A79" s="477" t="s">
        <v>35</v>
      </c>
      <c r="B79" s="478"/>
      <c r="C79" s="478"/>
      <c r="D79" s="478"/>
      <c r="E79" s="478"/>
      <c r="F79" s="478"/>
      <c r="G79" s="478"/>
      <c r="H79" s="478"/>
      <c r="I79" s="479"/>
    </row>
    <row r="80" spans="1:12" ht="18.75" x14ac:dyDescent="0.3">
      <c r="A80" s="219">
        <v>7.7</v>
      </c>
      <c r="B80" s="219">
        <v>7.42</v>
      </c>
      <c r="C80" s="219">
        <v>32.090000000000003</v>
      </c>
      <c r="D80" s="219">
        <v>225.88</v>
      </c>
      <c r="E80" s="261" t="s">
        <v>408</v>
      </c>
      <c r="F80" s="140" t="s">
        <v>529</v>
      </c>
      <c r="G80" s="211">
        <f>IFERROR(VLOOKUP(F80,[2]Реестр!A:K,2,0),"")</f>
        <v>100</v>
      </c>
      <c r="H80" s="206">
        <v>100</v>
      </c>
      <c r="I80" s="207">
        <v>50</v>
      </c>
      <c r="K80" s="208"/>
    </row>
    <row r="81" spans="1:12" ht="18.75" x14ac:dyDescent="0.3">
      <c r="A81" s="453" t="s">
        <v>16</v>
      </c>
      <c r="B81" s="454"/>
      <c r="C81" s="454"/>
      <c r="D81" s="454"/>
      <c r="E81" s="454"/>
      <c r="F81" s="455"/>
      <c r="G81" s="205"/>
      <c r="H81" s="206"/>
      <c r="I81" s="207">
        <f>I80</f>
        <v>50</v>
      </c>
      <c r="J81" s="215">
        <v>42</v>
      </c>
    </row>
    <row r="82" spans="1:12" ht="18.75" x14ac:dyDescent="0.3">
      <c r="A82" s="465" t="s">
        <v>36</v>
      </c>
      <c r="B82" s="466"/>
      <c r="C82" s="466"/>
      <c r="D82" s="466"/>
      <c r="E82" s="466"/>
      <c r="F82" s="466"/>
      <c r="G82" s="466"/>
      <c r="H82" s="466"/>
      <c r="I82" s="467"/>
    </row>
    <row r="83" spans="1:12" ht="18.75" x14ac:dyDescent="0.3">
      <c r="A83" s="263">
        <v>5.55</v>
      </c>
      <c r="B83" s="263">
        <v>7.8</v>
      </c>
      <c r="C83" s="263">
        <v>15.95</v>
      </c>
      <c r="D83" s="263">
        <v>199.78905478333331</v>
      </c>
      <c r="E83" s="350" t="str">
        <f>"6/70"</f>
        <v>6/70</v>
      </c>
      <c r="F83" s="350" t="s">
        <v>220</v>
      </c>
      <c r="G83" s="211" t="str">
        <f>IFERROR(VLOOKUP(F83,[2]Реестр!A:K,2,0),"")</f>
        <v>300</v>
      </c>
      <c r="H83" s="206">
        <v>250</v>
      </c>
      <c r="I83" s="207">
        <v>50</v>
      </c>
    </row>
    <row r="84" spans="1:12" ht="18.75" x14ac:dyDescent="0.3">
      <c r="A84" s="453" t="s">
        <v>16</v>
      </c>
      <c r="B84" s="454"/>
      <c r="C84" s="454"/>
      <c r="D84" s="454"/>
      <c r="E84" s="454"/>
      <c r="F84" s="455"/>
      <c r="G84" s="205"/>
      <c r="H84" s="206"/>
      <c r="I84" s="207">
        <f>SUM(I83:I83)</f>
        <v>50</v>
      </c>
      <c r="J84" s="215">
        <v>27</v>
      </c>
    </row>
    <row r="85" spans="1:12" ht="18.75" x14ac:dyDescent="0.3">
      <c r="A85" s="465" t="s">
        <v>503</v>
      </c>
      <c r="B85" s="466"/>
      <c r="C85" s="466"/>
      <c r="D85" s="466"/>
      <c r="E85" s="466"/>
      <c r="F85" s="466"/>
      <c r="G85" s="466"/>
      <c r="H85" s="466"/>
      <c r="I85" s="467"/>
    </row>
    <row r="86" spans="1:12" s="234" customFormat="1" ht="27" customHeight="1" x14ac:dyDescent="0.25">
      <c r="A86" s="368">
        <v>1.29</v>
      </c>
      <c r="B86" s="368">
        <v>5.97</v>
      </c>
      <c r="C86" s="368">
        <v>7.97</v>
      </c>
      <c r="D86" s="368">
        <v>86.23</v>
      </c>
      <c r="E86" s="357" t="str">
        <f>"7/80"</f>
        <v>7/80</v>
      </c>
      <c r="F86" s="228" t="s">
        <v>680</v>
      </c>
      <c r="G86" s="211" t="str">
        <f>IFERROR(VLOOKUP(F86,[2]Реестр!A:K,2,0),"")</f>
        <v/>
      </c>
      <c r="H86" s="210">
        <v>100</v>
      </c>
      <c r="I86" s="230">
        <v>52.76</v>
      </c>
      <c r="J86" s="268"/>
    </row>
    <row r="87" spans="1:12" ht="18.75" x14ac:dyDescent="0.3">
      <c r="A87" s="263">
        <v>12.44</v>
      </c>
      <c r="B87" s="263">
        <v>7.77</v>
      </c>
      <c r="C87" s="263">
        <v>25.16</v>
      </c>
      <c r="D87" s="263">
        <v>208</v>
      </c>
      <c r="E87" s="267" t="str">
        <f>"6/70"</f>
        <v>6/70</v>
      </c>
      <c r="F87" s="267" t="s">
        <v>220</v>
      </c>
      <c r="G87" s="211" t="str">
        <f>IFERROR(VLOOKUP(F87,[2]Реестр!A:K,2,0),"")</f>
        <v>300</v>
      </c>
      <c r="H87" s="373">
        <v>250</v>
      </c>
      <c r="I87" s="374">
        <v>50</v>
      </c>
    </row>
    <row r="88" spans="1:12" ht="18.75" x14ac:dyDescent="0.3">
      <c r="A88" s="348">
        <v>19.440000000000001</v>
      </c>
      <c r="B88" s="348">
        <v>21.37</v>
      </c>
      <c r="C88" s="348">
        <v>55.36</v>
      </c>
      <c r="D88" s="348">
        <v>508.5</v>
      </c>
      <c r="E88" s="349" t="str">
        <f>"8/35"</f>
        <v>8/35</v>
      </c>
      <c r="F88" s="349" t="s">
        <v>549</v>
      </c>
      <c r="G88" s="211" t="str">
        <f>IFERROR(VLOOKUP(F88,[2]Реестр!A:K,2,0),"")</f>
        <v/>
      </c>
      <c r="H88" s="372">
        <v>250</v>
      </c>
      <c r="I88" s="372">
        <v>140.84</v>
      </c>
    </row>
    <row r="89" spans="1:12" ht="18.75" x14ac:dyDescent="0.3">
      <c r="A89" s="263">
        <v>0.14000000000000001</v>
      </c>
      <c r="B89" s="263">
        <v>0.1</v>
      </c>
      <c r="C89" s="263">
        <v>1.5</v>
      </c>
      <c r="D89" s="263">
        <v>83.962620000000015</v>
      </c>
      <c r="E89" s="349" t="str">
        <f>"11/1"</f>
        <v>11/1</v>
      </c>
      <c r="F89" s="349" t="s">
        <v>317</v>
      </c>
      <c r="G89" s="211">
        <f>IFERROR(VLOOKUP(F89,[2]Реестр!A:K,2,0),"")</f>
        <v>200</v>
      </c>
      <c r="H89" s="291">
        <v>200</v>
      </c>
      <c r="I89" s="288">
        <v>12.8</v>
      </c>
    </row>
    <row r="90" spans="1:12" ht="18.75" x14ac:dyDescent="0.3">
      <c r="A90" s="209">
        <v>3.3</v>
      </c>
      <c r="B90" s="209">
        <v>0.3</v>
      </c>
      <c r="C90" s="209">
        <v>23.4</v>
      </c>
      <c r="D90" s="209">
        <v>112</v>
      </c>
      <c r="E90" s="210" t="s">
        <v>471</v>
      </c>
      <c r="F90" s="217" t="s">
        <v>66</v>
      </c>
      <c r="G90" s="211" t="str">
        <f>IFERROR(VLOOKUP(F90,[2]Реестр!A:K,2,0),"")</f>
        <v>100</v>
      </c>
      <c r="H90" s="206">
        <v>50</v>
      </c>
      <c r="I90" s="207">
        <v>4.5</v>
      </c>
    </row>
    <row r="91" spans="1:12" ht="18.75" x14ac:dyDescent="0.3">
      <c r="A91" s="209">
        <v>3.3</v>
      </c>
      <c r="B91" s="209">
        <v>0.6</v>
      </c>
      <c r="C91" s="209">
        <v>16.7</v>
      </c>
      <c r="D91" s="209">
        <v>96.5</v>
      </c>
      <c r="E91" s="210" t="s">
        <v>471</v>
      </c>
      <c r="F91" s="217" t="s">
        <v>65</v>
      </c>
      <c r="G91" s="211" t="str">
        <f>IFERROR(VLOOKUP(F91,[2]Реестр!A:K,2,0),"")</f>
        <v>100</v>
      </c>
      <c r="H91" s="206">
        <v>50</v>
      </c>
      <c r="I91" s="207">
        <v>4.5</v>
      </c>
    </row>
    <row r="92" spans="1:12" ht="18.75" x14ac:dyDescent="0.3">
      <c r="A92" s="209"/>
      <c r="B92" s="209"/>
      <c r="C92" s="209"/>
      <c r="D92" s="209"/>
      <c r="E92" s="218"/>
      <c r="F92" s="217"/>
      <c r="G92" s="211"/>
      <c r="H92" s="206"/>
      <c r="I92" s="207"/>
      <c r="K92" s="208"/>
    </row>
    <row r="93" spans="1:12" ht="18.75" x14ac:dyDescent="0.3">
      <c r="A93" s="464" t="s">
        <v>16</v>
      </c>
      <c r="B93" s="464"/>
      <c r="C93" s="464"/>
      <c r="D93" s="464"/>
      <c r="E93" s="464"/>
      <c r="F93" s="464"/>
      <c r="G93" s="205"/>
      <c r="H93" s="206"/>
      <c r="I93" s="207">
        <f>SUM(I86:I92)</f>
        <v>265.39999999999998</v>
      </c>
      <c r="J93" s="215">
        <v>192.84</v>
      </c>
      <c r="L93" s="208">
        <f>J93-I93</f>
        <v>-72.559999999999974</v>
      </c>
    </row>
    <row r="94" spans="1:12" ht="18.75" x14ac:dyDescent="0.3">
      <c r="A94" s="462" t="s">
        <v>544</v>
      </c>
      <c r="B94" s="462"/>
      <c r="C94" s="462"/>
      <c r="D94" s="462"/>
      <c r="E94" s="462"/>
      <c r="F94" s="462"/>
      <c r="G94" s="462"/>
      <c r="H94" s="462"/>
      <c r="I94" s="462"/>
      <c r="K94" s="208"/>
    </row>
    <row r="95" spans="1:12" ht="18.75" x14ac:dyDescent="0.25">
      <c r="A95" s="209">
        <f>IFERROR(VLOOKUP(F95,[1]Реестр!A:K,3,0)*H95/G95,"")</f>
        <v>5.08</v>
      </c>
      <c r="B95" s="209">
        <f>IFERROR(VLOOKUP(F95,[1]Реестр!A:K,4,0)*H95/G95,"")</f>
        <v>11.55</v>
      </c>
      <c r="C95" s="209">
        <f>IFERROR(VLOOKUP(F95,[1]Реестр!A:K,5,0)*H95/G95,"")</f>
        <v>9.9700000000000006</v>
      </c>
      <c r="D95" s="209">
        <f>IFERROR(VLOOKUP(F95,[1]Реестр!A:K,6,0)*H95/G95,"")</f>
        <v>164.15</v>
      </c>
      <c r="E95" s="210" t="str">
        <f>IFERROR(VLOOKUP(F95,[1]Реестр!A:K,11,0),"")</f>
        <v>1*51</v>
      </c>
      <c r="F95" s="356" t="s">
        <v>91</v>
      </c>
      <c r="G95" s="211" t="str">
        <f>IFERROR(VLOOKUP(F95,[1]Реестр!A:K,2,0),"")</f>
        <v>45</v>
      </c>
      <c r="H95" s="143">
        <v>45</v>
      </c>
      <c r="I95" s="450">
        <v>149.52000000000001</v>
      </c>
      <c r="K95" s="208"/>
    </row>
    <row r="96" spans="1:12" ht="33.75" customHeight="1" x14ac:dyDescent="0.25">
      <c r="A96" s="209">
        <f>IFERROR(VLOOKUP(F96,[1]Реестр!A:K,3,0)*H96/G96,"")</f>
        <v>6.3749999999999991</v>
      </c>
      <c r="B96" s="209">
        <f>IFERROR(VLOOKUP(F96,[1]Реестр!A:K,4,0)*H96/G96,"")</f>
        <v>5.7499999999999991</v>
      </c>
      <c r="C96" s="209">
        <f>IFERROR(VLOOKUP(F96,[1]Реестр!A:K,5,0)*H96/G96,"")</f>
        <v>0.375</v>
      </c>
      <c r="D96" s="209">
        <f>IFERROR(VLOOKUP(F96,[1]Реестр!A:K,6,0)*H96/G96,"")</f>
        <v>78.75</v>
      </c>
      <c r="E96" s="210" t="str">
        <f>IFERROR(VLOOKUP(F96,[1]Реестр!A:K,11,0),"")</f>
        <v>4*57</v>
      </c>
      <c r="F96" s="356" t="s">
        <v>162</v>
      </c>
      <c r="G96" s="211" t="str">
        <f>IFERROR(VLOOKUP(F96,[1]Реестр!A:K,2,0),"")</f>
        <v>40</v>
      </c>
      <c r="H96" s="143">
        <v>50</v>
      </c>
      <c r="I96" s="451"/>
      <c r="K96" s="208"/>
    </row>
    <row r="97" spans="1:12" ht="18.75" x14ac:dyDescent="0.25">
      <c r="A97" s="243">
        <v>6.26</v>
      </c>
      <c r="B97" s="243">
        <v>5.9</v>
      </c>
      <c r="C97" s="243">
        <v>28.4</v>
      </c>
      <c r="D97" s="243">
        <v>194.19400152</v>
      </c>
      <c r="E97" s="228" t="str">
        <f>"2/68"</f>
        <v>2/68</v>
      </c>
      <c r="F97" s="228" t="s">
        <v>666</v>
      </c>
      <c r="G97" s="211" t="str">
        <f>IFERROR(VLOOKUP(F97,[1]Реестр!A:K,2,0),"")</f>
        <v/>
      </c>
      <c r="H97" s="143">
        <v>200</v>
      </c>
      <c r="I97" s="451"/>
      <c r="K97" s="208"/>
    </row>
    <row r="98" spans="1:12" ht="30" x14ac:dyDescent="0.25">
      <c r="A98" s="243">
        <v>2.74</v>
      </c>
      <c r="B98" s="243">
        <v>2.2000000000000002</v>
      </c>
      <c r="C98" s="243">
        <v>4.8899999999999997</v>
      </c>
      <c r="D98" s="243">
        <v>49.717531084999983</v>
      </c>
      <c r="E98" s="228" t="str">
        <f>"11/59 (2004 № 692)"</f>
        <v>11/59 (2004 № 692)</v>
      </c>
      <c r="F98" s="228" t="s">
        <v>667</v>
      </c>
      <c r="G98" s="211">
        <f>IFERROR(VLOOKUP(F98,[1]Реестр!A:K,2,0),"")</f>
        <v>200</v>
      </c>
      <c r="H98" s="143" t="str">
        <f>"200"</f>
        <v>200</v>
      </c>
      <c r="I98" s="451"/>
      <c r="K98" s="208"/>
    </row>
    <row r="99" spans="1:12" ht="18.75" x14ac:dyDescent="0.25">
      <c r="A99" s="209">
        <f>IFERROR(VLOOKUP(F99,[1]Реестр!A:K,3,0)*H99/G99,"")</f>
        <v>1.32</v>
      </c>
      <c r="B99" s="209">
        <f>IFERROR(VLOOKUP(F99,[1]Реестр!A:K,4,0)*H99/G99,"")</f>
        <v>0.24</v>
      </c>
      <c r="C99" s="209">
        <f>IFERROR(VLOOKUP(F99,[1]Реестр!A:K,5,0)*H99/G99,"")</f>
        <v>6.68</v>
      </c>
      <c r="D99" s="209">
        <f>IFERROR(VLOOKUP(F99,[1]Реестр!A:K,6,0)*H99/G99,"")</f>
        <v>38.6</v>
      </c>
      <c r="E99" s="210" t="str">
        <f>IFERROR(VLOOKUP(F99,[1]Реестр!A:K,11,0),"")</f>
        <v>-</v>
      </c>
      <c r="F99" s="217" t="s">
        <v>65</v>
      </c>
      <c r="G99" s="211" t="str">
        <f>IFERROR(VLOOKUP(F99,[1]Реестр!A:K,2,0),"")</f>
        <v>100</v>
      </c>
      <c r="H99" s="229" t="str">
        <f>"20"</f>
        <v>20</v>
      </c>
      <c r="I99" s="452"/>
      <c r="K99" s="208"/>
    </row>
    <row r="100" spans="1:12" ht="18.75" x14ac:dyDescent="0.3">
      <c r="A100" s="464" t="s">
        <v>16</v>
      </c>
      <c r="B100" s="464"/>
      <c r="C100" s="464"/>
      <c r="D100" s="464"/>
      <c r="E100" s="464"/>
      <c r="F100" s="464"/>
      <c r="G100" s="205"/>
      <c r="H100" s="206"/>
      <c r="I100" s="207">
        <f>SUM(I95:I99)</f>
        <v>149.52000000000001</v>
      </c>
      <c r="K100" s="208"/>
    </row>
    <row r="101" spans="1:12" ht="18.75" x14ac:dyDescent="0.3">
      <c r="A101" s="462" t="s">
        <v>545</v>
      </c>
      <c r="B101" s="462"/>
      <c r="C101" s="462"/>
      <c r="D101" s="462"/>
      <c r="E101" s="462"/>
      <c r="F101" s="462"/>
      <c r="G101" s="462"/>
      <c r="H101" s="462"/>
      <c r="I101" s="462"/>
      <c r="J101" s="215">
        <v>85.2</v>
      </c>
      <c r="K101" s="208"/>
      <c r="L101" s="208">
        <f>J101-I101</f>
        <v>85.2</v>
      </c>
    </row>
    <row r="102" spans="1:12" ht="18.75" x14ac:dyDescent="0.25">
      <c r="A102" s="209">
        <f>IFERROR(VLOOKUP(F102,[1]Реестр!A:K,3,0)*H102/G102,"")</f>
        <v>6.3749999999999991</v>
      </c>
      <c r="B102" s="209">
        <f>IFERROR(VLOOKUP(F102,[1]Реестр!A:K,4,0)*H102/G102,"")</f>
        <v>5.7499999999999991</v>
      </c>
      <c r="C102" s="209">
        <f>IFERROR(VLOOKUP(F102,[1]Реестр!A:K,5,0)*H102/G102,"")</f>
        <v>0.375</v>
      </c>
      <c r="D102" s="209">
        <f>IFERROR(VLOOKUP(F102,[1]Реестр!A:K,6,0)*H102/G102,"")</f>
        <v>78.75</v>
      </c>
      <c r="E102" s="210" t="str">
        <f>IFERROR(VLOOKUP(F102,[1]Реестр!A:K,11,0),"")</f>
        <v>4*57</v>
      </c>
      <c r="F102" s="356" t="s">
        <v>162</v>
      </c>
      <c r="G102" s="211" t="str">
        <f>IFERROR(VLOOKUP(F102,[1]Реестр!A:K,2,0),"")</f>
        <v>40</v>
      </c>
      <c r="H102" s="143">
        <v>50</v>
      </c>
      <c r="I102" s="450">
        <v>149.52000000000001</v>
      </c>
      <c r="K102" s="208"/>
    </row>
    <row r="103" spans="1:12" ht="25.5" customHeight="1" x14ac:dyDescent="0.25">
      <c r="A103" s="243">
        <v>6.03</v>
      </c>
      <c r="B103" s="243">
        <v>12.83</v>
      </c>
      <c r="C103" s="243">
        <v>34.92</v>
      </c>
      <c r="D103" s="243">
        <v>275.69060599999995</v>
      </c>
      <c r="E103" s="228" t="str">
        <f>"2/78"</f>
        <v>2/78</v>
      </c>
      <c r="F103" s="228" t="s">
        <v>668</v>
      </c>
      <c r="G103" s="211" t="str">
        <f>IFERROR(VLOOKUP(F103,[1]Реестр!A:K,2,0),"")</f>
        <v/>
      </c>
      <c r="H103" s="143">
        <v>200</v>
      </c>
      <c r="I103" s="451"/>
      <c r="K103" s="208"/>
    </row>
    <row r="104" spans="1:12" ht="18.75" x14ac:dyDescent="0.25">
      <c r="A104" s="209">
        <f>IFERROR(VLOOKUP(F104,[1]Реестр!A:K,3,0)*H104/G104,"")</f>
        <v>0.17499999999999999</v>
      </c>
      <c r="B104" s="209">
        <f>IFERROR(VLOOKUP(F104,[1]Реестр!A:K,4,0)*H104/G104,"")</f>
        <v>0.105</v>
      </c>
      <c r="C104" s="209">
        <f>IFERROR(VLOOKUP(F104,[1]Реестр!A:K,5,0)*H104/G104,"")</f>
        <v>10.01</v>
      </c>
      <c r="D104" s="209">
        <f>IFERROR(VLOOKUP(F104,[1]Реестр!A:K,6,0)*H104/G104,"")</f>
        <v>40.6</v>
      </c>
      <c r="E104" s="210" t="str">
        <f>IFERROR(VLOOKUP(F104,[1]Реестр!A:K,11,0),"")</f>
        <v>12*2</v>
      </c>
      <c r="F104" s="356" t="s">
        <v>371</v>
      </c>
      <c r="G104" s="211" t="str">
        <f>IFERROR(VLOOKUP(F104,[1]Реестр!A:K,2,0),"")</f>
        <v>100</v>
      </c>
      <c r="H104" s="143">
        <v>35</v>
      </c>
      <c r="I104" s="451"/>
      <c r="K104" s="208"/>
    </row>
    <row r="105" spans="1:12" ht="18.75" x14ac:dyDescent="0.25">
      <c r="A105" s="243">
        <v>0.18</v>
      </c>
      <c r="B105" s="243">
        <v>0.04</v>
      </c>
      <c r="C105" s="243">
        <v>13.75</v>
      </c>
      <c r="D105" s="243">
        <v>53.136642799999997</v>
      </c>
      <c r="E105" s="210" t="s">
        <v>353</v>
      </c>
      <c r="F105" s="228" t="s">
        <v>563</v>
      </c>
      <c r="G105" s="211" t="str">
        <f>IFERROR(VLOOKUP(F105,[1]Реестр!A:K,2,0),"")</f>
        <v/>
      </c>
      <c r="H105" s="143" t="str">
        <f>"200"</f>
        <v>200</v>
      </c>
      <c r="I105" s="451"/>
      <c r="K105" s="208"/>
    </row>
    <row r="106" spans="1:12" ht="18.75" x14ac:dyDescent="0.25">
      <c r="A106" s="209">
        <f>IFERROR(VLOOKUP(F106,[1]Реестр!A:K,3,0)*H106/G106,"")</f>
        <v>1.32</v>
      </c>
      <c r="B106" s="209">
        <f>IFERROR(VLOOKUP(F106,[1]Реестр!A:K,4,0)*H106/G106,"")</f>
        <v>0.24</v>
      </c>
      <c r="C106" s="209">
        <f>IFERROR(VLOOKUP(F106,[1]Реестр!A:K,5,0)*H106/G106,"")</f>
        <v>6.68</v>
      </c>
      <c r="D106" s="209">
        <f>IFERROR(VLOOKUP(F106,[1]Реестр!A:K,6,0)*H106/G106,"")</f>
        <v>38.6</v>
      </c>
      <c r="E106" s="210" t="str">
        <f>IFERROR(VLOOKUP(F106,[1]Реестр!A:K,11,0),"")</f>
        <v>-</v>
      </c>
      <c r="F106" s="217" t="s">
        <v>65</v>
      </c>
      <c r="G106" s="211" t="str">
        <f>IFERROR(VLOOKUP(F106,[1]Реестр!A:K,2,0),"")</f>
        <v>100</v>
      </c>
      <c r="H106" s="229" t="str">
        <f>"20"</f>
        <v>20</v>
      </c>
      <c r="I106" s="451"/>
      <c r="K106" s="208"/>
    </row>
    <row r="107" spans="1:12" ht="18.75" x14ac:dyDescent="0.3">
      <c r="A107" s="209">
        <f>IFERROR(VLOOKUP(F107,[1]Реестр!A:K,3,0)*H107/G107,"")</f>
        <v>1.32</v>
      </c>
      <c r="B107" s="209">
        <f>IFERROR(VLOOKUP(F107,[1]Реестр!A:K,4,0)*H107/G107,"")</f>
        <v>0.12</v>
      </c>
      <c r="C107" s="209">
        <f>IFERROR(VLOOKUP(F107,[1]Реестр!A:K,5,0)*H107/G107,"")</f>
        <v>9.36</v>
      </c>
      <c r="D107" s="209">
        <f>IFERROR(VLOOKUP(F107,[1]Реестр!A:K,6,0)*H107/G107,"")</f>
        <v>44.8</v>
      </c>
      <c r="E107" s="210" t="str">
        <f>IFERROR(VLOOKUP(F107,[1]Реестр!A:K,11,0),"")</f>
        <v>-</v>
      </c>
      <c r="F107" s="217" t="s">
        <v>66</v>
      </c>
      <c r="G107" s="211" t="str">
        <f>IFERROR(VLOOKUP(F107,[1]Реестр!A:K,2,0),"")</f>
        <v>100</v>
      </c>
      <c r="H107" s="206">
        <v>20</v>
      </c>
      <c r="I107" s="452"/>
      <c r="K107" s="208"/>
    </row>
    <row r="108" spans="1:12" ht="18.75" x14ac:dyDescent="0.3">
      <c r="A108" s="464" t="s">
        <v>16</v>
      </c>
      <c r="B108" s="464"/>
      <c r="C108" s="464"/>
      <c r="D108" s="464"/>
      <c r="E108" s="464"/>
      <c r="F108" s="464"/>
      <c r="G108" s="205"/>
      <c r="H108" s="206"/>
      <c r="I108" s="207">
        <f>SUM(I102)</f>
        <v>149.52000000000001</v>
      </c>
      <c r="K108" s="208"/>
    </row>
    <row r="109" spans="1:12" ht="18.75" x14ac:dyDescent="0.3">
      <c r="A109" s="462" t="s">
        <v>566</v>
      </c>
      <c r="B109" s="462"/>
      <c r="C109" s="462"/>
      <c r="D109" s="462"/>
      <c r="E109" s="462"/>
      <c r="F109" s="462"/>
      <c r="G109" s="462"/>
      <c r="H109" s="462"/>
      <c r="I109" s="462"/>
      <c r="K109" s="208"/>
    </row>
    <row r="110" spans="1:12" ht="30" x14ac:dyDescent="0.25">
      <c r="A110" s="367">
        <v>1.03</v>
      </c>
      <c r="B110" s="353">
        <v>4.7699999999999996</v>
      </c>
      <c r="C110" s="353">
        <v>6.38</v>
      </c>
      <c r="D110" s="353">
        <v>68.989999999999995</v>
      </c>
      <c r="E110" s="357" t="str">
        <f>"7/80"</f>
        <v>7/80</v>
      </c>
      <c r="F110" s="228" t="s">
        <v>678</v>
      </c>
      <c r="G110" s="211" t="str">
        <f>IFERROR(VLOOKUP(F110,[2]Реестр!A:K,2,0),"")</f>
        <v/>
      </c>
      <c r="H110" s="263" t="s">
        <v>81</v>
      </c>
      <c r="I110" s="450">
        <v>224.27</v>
      </c>
      <c r="K110" s="208"/>
    </row>
    <row r="111" spans="1:12" ht="18.75" x14ac:dyDescent="0.25">
      <c r="A111" s="263">
        <v>12.44</v>
      </c>
      <c r="B111" s="263">
        <v>7.77</v>
      </c>
      <c r="C111" s="263">
        <v>25.16</v>
      </c>
      <c r="D111" s="263">
        <v>208</v>
      </c>
      <c r="E111" s="267" t="str">
        <f>"6/70"</f>
        <v>6/70</v>
      </c>
      <c r="F111" s="267" t="s">
        <v>220</v>
      </c>
      <c r="G111" s="211" t="str">
        <f>IFERROR(VLOOKUP(F111,[2]Реестр!A:K,2,0),"")</f>
        <v>300</v>
      </c>
      <c r="H111" s="243" t="str">
        <f>"250"</f>
        <v>250</v>
      </c>
      <c r="I111" s="451"/>
      <c r="K111" s="208"/>
    </row>
    <row r="112" spans="1:12" ht="18.75" x14ac:dyDescent="0.25">
      <c r="A112" s="263">
        <v>16.579999999999998</v>
      </c>
      <c r="B112" s="263">
        <v>19.5</v>
      </c>
      <c r="C112" s="263">
        <v>68.38</v>
      </c>
      <c r="D112" s="263">
        <v>327.07</v>
      </c>
      <c r="E112" s="349" t="str">
        <f>"8/35"</f>
        <v>8/35</v>
      </c>
      <c r="F112" s="349" t="s">
        <v>549</v>
      </c>
      <c r="G112" s="211"/>
      <c r="H112" s="266">
        <v>200</v>
      </c>
      <c r="I112" s="451"/>
      <c r="K112" s="208"/>
    </row>
    <row r="113" spans="1:11" ht="18.75" x14ac:dyDescent="0.25">
      <c r="A113" s="263">
        <v>0.14000000000000001</v>
      </c>
      <c r="B113" s="263">
        <v>0.1</v>
      </c>
      <c r="C113" s="263">
        <v>11</v>
      </c>
      <c r="D113" s="263">
        <v>83.962620000000015</v>
      </c>
      <c r="E113" s="228" t="str">
        <f>"11/73"</f>
        <v>11/73</v>
      </c>
      <c r="F113" s="228" t="s">
        <v>669</v>
      </c>
      <c r="G113" s="211"/>
      <c r="H113" s="263" t="s">
        <v>118</v>
      </c>
      <c r="I113" s="451"/>
      <c r="K113" s="208"/>
    </row>
    <row r="114" spans="1:11" ht="18.75" customHeight="1" x14ac:dyDescent="0.25">
      <c r="A114" s="264">
        <v>2.64</v>
      </c>
      <c r="B114" s="264">
        <v>0.48</v>
      </c>
      <c r="C114" s="264">
        <v>16.68</v>
      </c>
      <c r="D114" s="264">
        <v>77.352000000000004</v>
      </c>
      <c r="E114" s="228" t="str">
        <f>"-"</f>
        <v>-</v>
      </c>
      <c r="F114" s="217" t="s">
        <v>66</v>
      </c>
      <c r="G114" s="211"/>
      <c r="H114" s="264" t="str">
        <f>"40"</f>
        <v>40</v>
      </c>
      <c r="I114" s="451"/>
      <c r="K114" s="208"/>
    </row>
    <row r="115" spans="1:11" ht="18.75" x14ac:dyDescent="0.25">
      <c r="A115" s="264">
        <v>2.64</v>
      </c>
      <c r="B115" s="264">
        <v>0.48</v>
      </c>
      <c r="C115" s="264">
        <v>16.68</v>
      </c>
      <c r="D115" s="264">
        <v>77.352000000000004</v>
      </c>
      <c r="E115" s="265" t="str">
        <f>"-"</f>
        <v>-</v>
      </c>
      <c r="F115" s="217" t="s">
        <v>65</v>
      </c>
      <c r="G115" s="211" t="str">
        <f>IFERROR(VLOOKUP(F115,[2]Реестр!A:K,2,0),"")</f>
        <v>100</v>
      </c>
      <c r="H115" s="264" t="str">
        <f>"40"</f>
        <v>40</v>
      </c>
      <c r="I115" s="451"/>
      <c r="K115" s="208"/>
    </row>
    <row r="116" spans="1:11" ht="18.75" x14ac:dyDescent="0.25">
      <c r="A116" s="241"/>
      <c r="B116" s="241"/>
      <c r="C116" s="241"/>
      <c r="D116" s="241"/>
      <c r="E116" s="265"/>
      <c r="F116" s="217"/>
      <c r="G116" s="211"/>
      <c r="H116" s="269"/>
      <c r="I116" s="451"/>
      <c r="K116" s="208"/>
    </row>
    <row r="117" spans="1:11" ht="18.75" x14ac:dyDescent="0.3">
      <c r="A117" s="464" t="s">
        <v>16</v>
      </c>
      <c r="B117" s="464"/>
      <c r="C117" s="464"/>
      <c r="D117" s="464"/>
      <c r="E117" s="464"/>
      <c r="F117" s="464"/>
      <c r="G117" s="205"/>
      <c r="H117" s="206"/>
      <c r="I117" s="207">
        <f>SUM(I110:I116)</f>
        <v>224.27</v>
      </c>
      <c r="K117" s="208"/>
    </row>
    <row r="118" spans="1:11" ht="18.75" x14ac:dyDescent="0.3">
      <c r="A118" s="462" t="s">
        <v>550</v>
      </c>
      <c r="B118" s="462"/>
      <c r="C118" s="462"/>
      <c r="D118" s="462"/>
      <c r="E118" s="462"/>
      <c r="F118" s="462"/>
      <c r="G118" s="462"/>
      <c r="H118" s="462"/>
      <c r="I118" s="462"/>
      <c r="K118" s="208"/>
    </row>
    <row r="119" spans="1:11" ht="30" x14ac:dyDescent="0.25">
      <c r="A119" s="367">
        <v>1.03</v>
      </c>
      <c r="B119" s="353">
        <v>4.7699999999999996</v>
      </c>
      <c r="C119" s="353">
        <v>6.38</v>
      </c>
      <c r="D119" s="353">
        <v>68.989999999999995</v>
      </c>
      <c r="E119" s="357" t="str">
        <f>"7/80"</f>
        <v>7/80</v>
      </c>
      <c r="F119" s="228" t="s">
        <v>678</v>
      </c>
      <c r="G119" s="211" t="str">
        <f>IFERROR(VLOOKUP(F119,[2]Реестр!A:K,2,0),"")</f>
        <v/>
      </c>
      <c r="H119" s="210">
        <v>80</v>
      </c>
      <c r="I119" s="450">
        <v>224.27</v>
      </c>
      <c r="K119" s="208"/>
    </row>
    <row r="120" spans="1:11" ht="22.5" customHeight="1" x14ac:dyDescent="0.3">
      <c r="A120" s="263">
        <v>5.55</v>
      </c>
      <c r="B120" s="263">
        <v>12.08</v>
      </c>
      <c r="C120" s="263">
        <v>17.95</v>
      </c>
      <c r="D120" s="263">
        <v>199.78905478333331</v>
      </c>
      <c r="E120" s="227" t="str">
        <f>"6/70-1"</f>
        <v>6/70-1</v>
      </c>
      <c r="F120" s="228" t="s">
        <v>670</v>
      </c>
      <c r="G120" s="211" t="str">
        <f>IFERROR(VLOOKUP(F120,[2]Реестр!A:K,2,0),"")</f>
        <v>300</v>
      </c>
      <c r="H120" s="206">
        <v>250</v>
      </c>
      <c r="I120" s="451"/>
      <c r="K120" s="208"/>
    </row>
    <row r="121" spans="1:11" ht="18.75" x14ac:dyDescent="0.3">
      <c r="A121" s="263">
        <v>16.579999999999998</v>
      </c>
      <c r="B121" s="263">
        <v>19.5</v>
      </c>
      <c r="C121" s="263">
        <v>68.38</v>
      </c>
      <c r="D121" s="263">
        <v>327.07</v>
      </c>
      <c r="E121" s="349" t="str">
        <f>"8/35"</f>
        <v>8/35</v>
      </c>
      <c r="F121" s="349" t="s">
        <v>549</v>
      </c>
      <c r="G121" s="211" t="str">
        <f>IFERROR(VLOOKUP(F121,[2]Реестр!A:K,2,0),"")</f>
        <v/>
      </c>
      <c r="H121" s="206">
        <v>200</v>
      </c>
      <c r="I121" s="451"/>
      <c r="K121" s="208"/>
    </row>
    <row r="122" spans="1:11" ht="18.75" x14ac:dyDescent="0.3">
      <c r="A122" s="263">
        <v>0.14000000000000001</v>
      </c>
      <c r="B122" s="263">
        <v>0.1</v>
      </c>
      <c r="C122" s="263">
        <v>1.5</v>
      </c>
      <c r="D122" s="263">
        <v>83.962620000000015</v>
      </c>
      <c r="E122" s="349" t="str">
        <f>"11/1"</f>
        <v>11/1</v>
      </c>
      <c r="F122" s="349" t="s">
        <v>317</v>
      </c>
      <c r="G122" s="211">
        <f>IFERROR(VLOOKUP(F122,[2]Реестр!A:K,2,0),"")</f>
        <v>200</v>
      </c>
      <c r="H122" s="206">
        <v>200</v>
      </c>
      <c r="I122" s="451"/>
      <c r="K122" s="208"/>
    </row>
    <row r="123" spans="1:11" ht="18.75" x14ac:dyDescent="0.3">
      <c r="A123" s="209">
        <v>2.64</v>
      </c>
      <c r="B123" s="209">
        <v>0.24</v>
      </c>
      <c r="C123" s="209">
        <v>18.72</v>
      </c>
      <c r="D123" s="209">
        <v>89.6</v>
      </c>
      <c r="E123" s="210" t="s">
        <v>471</v>
      </c>
      <c r="F123" s="217" t="s">
        <v>66</v>
      </c>
      <c r="G123" s="211" t="str">
        <f>IFERROR(VLOOKUP(F123,[2]Реестр!A:K,2,0),"")</f>
        <v>100</v>
      </c>
      <c r="H123" s="206">
        <v>40</v>
      </c>
      <c r="I123" s="451"/>
      <c r="K123" s="208"/>
    </row>
    <row r="124" spans="1:11" ht="18.75" x14ac:dyDescent="0.3">
      <c r="A124" s="209">
        <v>2.64</v>
      </c>
      <c r="B124" s="209">
        <v>0.48</v>
      </c>
      <c r="C124" s="209">
        <v>13.36</v>
      </c>
      <c r="D124" s="209">
        <v>77.2</v>
      </c>
      <c r="E124" s="210" t="s">
        <v>471</v>
      </c>
      <c r="F124" s="217" t="s">
        <v>65</v>
      </c>
      <c r="G124" s="211" t="str">
        <f>IFERROR(VLOOKUP(F124,[2]Реестр!A:K,2,0),"")</f>
        <v>100</v>
      </c>
      <c r="H124" s="206">
        <v>40</v>
      </c>
      <c r="I124" s="451"/>
      <c r="K124" s="208"/>
    </row>
    <row r="125" spans="1:11" ht="18.75" x14ac:dyDescent="0.25">
      <c r="A125" s="264"/>
      <c r="B125" s="264"/>
      <c r="C125" s="264"/>
      <c r="D125" s="264"/>
      <c r="E125" s="265"/>
      <c r="F125" s="217"/>
      <c r="G125" s="211"/>
      <c r="H125" s="264"/>
      <c r="I125" s="451"/>
      <c r="K125" s="208"/>
    </row>
    <row r="126" spans="1:11" ht="18.75" x14ac:dyDescent="0.3">
      <c r="A126" s="464" t="s">
        <v>16</v>
      </c>
      <c r="B126" s="464"/>
      <c r="C126" s="464"/>
      <c r="D126" s="464"/>
      <c r="E126" s="464"/>
      <c r="F126" s="464"/>
      <c r="G126" s="205"/>
      <c r="H126" s="206"/>
      <c r="I126" s="207">
        <f>SUM(I119)</f>
        <v>224.27</v>
      </c>
      <c r="K126" s="208"/>
    </row>
    <row r="127" spans="1:11" ht="18.75" x14ac:dyDescent="0.3">
      <c r="A127" s="465" t="s">
        <v>502</v>
      </c>
      <c r="B127" s="466"/>
      <c r="C127" s="466"/>
      <c r="D127" s="466"/>
      <c r="E127" s="466"/>
      <c r="F127" s="466"/>
      <c r="G127" s="466"/>
      <c r="H127" s="466"/>
      <c r="I127" s="467"/>
      <c r="K127" s="208"/>
    </row>
    <row r="128" spans="1:11" ht="18.75" x14ac:dyDescent="0.3">
      <c r="A128" s="263">
        <v>5.55</v>
      </c>
      <c r="B128" s="263">
        <v>7.8</v>
      </c>
      <c r="C128" s="263">
        <v>15.95</v>
      </c>
      <c r="D128" s="263">
        <v>199.78905478333331</v>
      </c>
      <c r="E128" s="350" t="str">
        <f>"6/70"</f>
        <v>6/70</v>
      </c>
      <c r="F128" s="350" t="s">
        <v>220</v>
      </c>
      <c r="G128" s="211" t="str">
        <f>IFERROR(VLOOKUP(F128,[2]Реестр!A:K,2,0),"")</f>
        <v>300</v>
      </c>
      <c r="H128" s="375">
        <v>250</v>
      </c>
      <c r="I128" s="376">
        <v>50</v>
      </c>
      <c r="K128" s="208"/>
    </row>
    <row r="129" spans="1:11" ht="18.75" x14ac:dyDescent="0.3">
      <c r="A129" s="263">
        <v>16.579999999999998</v>
      </c>
      <c r="B129" s="263">
        <v>19.5</v>
      </c>
      <c r="C129" s="263">
        <v>68.38</v>
      </c>
      <c r="D129" s="263">
        <v>327.07</v>
      </c>
      <c r="E129" s="349" t="str">
        <f>"8/35"</f>
        <v>8/35</v>
      </c>
      <c r="F129" s="349" t="s">
        <v>549</v>
      </c>
      <c r="G129" s="211" t="str">
        <f>IFERROR(VLOOKUP(F129,[2]Реестр!A:K,2,0),"")</f>
        <v/>
      </c>
      <c r="H129" s="206">
        <v>210</v>
      </c>
      <c r="I129" s="206">
        <v>118.3</v>
      </c>
      <c r="K129" s="208"/>
    </row>
    <row r="130" spans="1:11" ht="18.75" x14ac:dyDescent="0.3">
      <c r="A130" s="263">
        <v>0.14000000000000001</v>
      </c>
      <c r="B130" s="263">
        <v>0.1</v>
      </c>
      <c r="C130" s="263">
        <v>1.5</v>
      </c>
      <c r="D130" s="263">
        <v>83.962620000000015</v>
      </c>
      <c r="E130" s="349" t="str">
        <f>"11/1"</f>
        <v>11/1</v>
      </c>
      <c r="F130" s="349" t="s">
        <v>317</v>
      </c>
      <c r="G130" s="211">
        <f>IFERROR(VLOOKUP(F130,[2]Реестр!A:K,2,0),"")</f>
        <v>200</v>
      </c>
      <c r="H130" s="291">
        <v>200</v>
      </c>
      <c r="I130" s="288">
        <v>12.8</v>
      </c>
      <c r="K130" s="208"/>
    </row>
    <row r="131" spans="1:11" ht="18.75" x14ac:dyDescent="0.3">
      <c r="A131" s="209">
        <v>2.64</v>
      </c>
      <c r="B131" s="209">
        <v>0.24</v>
      </c>
      <c r="C131" s="209">
        <v>18.72</v>
      </c>
      <c r="D131" s="209">
        <v>89.6</v>
      </c>
      <c r="E131" s="210" t="s">
        <v>471</v>
      </c>
      <c r="F131" s="217" t="s">
        <v>66</v>
      </c>
      <c r="G131" s="211" t="str">
        <f>IFERROR(VLOOKUP(F131,[2]Реестр!A:K,2,0),"")</f>
        <v>100</v>
      </c>
      <c r="H131" s="206">
        <v>25</v>
      </c>
      <c r="I131" s="207">
        <v>2.1</v>
      </c>
      <c r="K131" s="208"/>
    </row>
    <row r="132" spans="1:11" ht="18.75" x14ac:dyDescent="0.3">
      <c r="A132" s="209">
        <v>2.97</v>
      </c>
      <c r="B132" s="209">
        <v>0.54</v>
      </c>
      <c r="C132" s="209">
        <v>15.03</v>
      </c>
      <c r="D132" s="209">
        <v>86.85</v>
      </c>
      <c r="E132" s="210" t="s">
        <v>471</v>
      </c>
      <c r="F132" s="217" t="s">
        <v>65</v>
      </c>
      <c r="G132" s="211" t="str">
        <f>IFERROR(VLOOKUP(F132,[2]Реестр!A:K,2,0),"")</f>
        <v>100</v>
      </c>
      <c r="H132" s="206">
        <v>20</v>
      </c>
      <c r="I132" s="207">
        <v>1.8</v>
      </c>
      <c r="K132" s="208"/>
    </row>
    <row r="133" spans="1:11" ht="18.75" x14ac:dyDescent="0.3">
      <c r="A133" s="219">
        <v>7.7</v>
      </c>
      <c r="B133" s="219">
        <v>7.42</v>
      </c>
      <c r="C133" s="219">
        <v>32.090000000000003</v>
      </c>
      <c r="D133" s="219">
        <v>225.88</v>
      </c>
      <c r="E133" s="261" t="s">
        <v>408</v>
      </c>
      <c r="F133" s="140" t="s">
        <v>529</v>
      </c>
      <c r="G133" s="211">
        <f>IFERROR(VLOOKUP(F133,[2]Реестр!A:K,2,0),"")</f>
        <v>100</v>
      </c>
      <c r="H133" s="375">
        <v>100</v>
      </c>
      <c r="I133" s="376">
        <v>50</v>
      </c>
      <c r="K133" s="208"/>
    </row>
    <row r="134" spans="1:11" ht="18.75" x14ac:dyDescent="0.3">
      <c r="A134" s="209"/>
      <c r="B134" s="209"/>
      <c r="C134" s="209"/>
      <c r="D134" s="209"/>
      <c r="E134" s="210"/>
      <c r="F134" s="217"/>
      <c r="G134" s="211"/>
      <c r="H134" s="206"/>
      <c r="I134" s="207"/>
      <c r="K134" s="208"/>
    </row>
    <row r="135" spans="1:11" ht="18.75" x14ac:dyDescent="0.3">
      <c r="A135" s="464" t="s">
        <v>16</v>
      </c>
      <c r="B135" s="464"/>
      <c r="C135" s="464"/>
      <c r="D135" s="464"/>
      <c r="E135" s="464"/>
      <c r="F135" s="464"/>
      <c r="G135" s="205"/>
      <c r="H135" s="206"/>
      <c r="I135" s="207">
        <f>SUM(I128:I134)</f>
        <v>235.00000000000003</v>
      </c>
      <c r="J135" s="215">
        <v>235</v>
      </c>
      <c r="K135" s="208"/>
    </row>
    <row r="136" spans="1:11" ht="18.75" x14ac:dyDescent="0.3">
      <c r="A136" s="462" t="s">
        <v>607</v>
      </c>
      <c r="B136" s="462"/>
      <c r="C136" s="462"/>
      <c r="D136" s="462"/>
      <c r="E136" s="462"/>
      <c r="F136" s="462"/>
      <c r="G136" s="462"/>
      <c r="H136" s="462"/>
      <c r="I136" s="462"/>
      <c r="K136" s="208"/>
    </row>
    <row r="137" spans="1:11" ht="18.75" x14ac:dyDescent="0.25">
      <c r="A137" s="262">
        <v>13.9</v>
      </c>
      <c r="B137" s="262">
        <v>12.5</v>
      </c>
      <c r="C137" s="262">
        <v>3.8</v>
      </c>
      <c r="D137" s="262">
        <v>184</v>
      </c>
      <c r="E137" s="210" t="str">
        <f>IFERROR(VLOOKUP(F137,[1]Реестр!A:K,11,0),"")</f>
        <v>8*60</v>
      </c>
      <c r="F137" s="356" t="s">
        <v>608</v>
      </c>
      <c r="G137" s="211" t="str">
        <f>IFERROR(VLOOKUP(F137,[10]Реестр!A:K,2,0),"")</f>
        <v/>
      </c>
      <c r="H137" s="143">
        <v>100</v>
      </c>
      <c r="I137" s="450">
        <v>188</v>
      </c>
      <c r="K137" s="208"/>
    </row>
    <row r="138" spans="1:11" ht="18.75" x14ac:dyDescent="0.25">
      <c r="A138" s="55">
        <v>2.2000000000000002</v>
      </c>
      <c r="B138" s="55">
        <v>2.8</v>
      </c>
      <c r="C138" s="55">
        <v>14.1</v>
      </c>
      <c r="D138" s="55">
        <v>92</v>
      </c>
      <c r="E138" s="210" t="s">
        <v>191</v>
      </c>
      <c r="F138" s="140" t="s">
        <v>190</v>
      </c>
      <c r="G138" s="211"/>
      <c r="H138" s="143">
        <v>150</v>
      </c>
      <c r="I138" s="451"/>
      <c r="K138" s="208"/>
    </row>
    <row r="139" spans="1:11" ht="18.75" x14ac:dyDescent="0.25">
      <c r="A139" s="55">
        <v>0.2</v>
      </c>
      <c r="B139" s="55">
        <v>0</v>
      </c>
      <c r="C139" s="55">
        <v>13.7</v>
      </c>
      <c r="D139" s="55">
        <v>53</v>
      </c>
      <c r="E139" s="210" t="str">
        <f>IFERROR(VLOOKUP(F139,[1]Реестр!A:K,11,0),"")</f>
        <v>11*17</v>
      </c>
      <c r="F139" s="140" t="s">
        <v>499</v>
      </c>
      <c r="G139" s="211" t="str">
        <f>IFERROR(VLOOKUP(F139,[10]Реестр!A:K,2,0),"")</f>
        <v>200</v>
      </c>
      <c r="H139" s="143">
        <v>200</v>
      </c>
      <c r="I139" s="452"/>
      <c r="K139" s="208"/>
    </row>
    <row r="140" spans="1:11" ht="18.75" x14ac:dyDescent="0.3">
      <c r="A140" s="453" t="s">
        <v>16</v>
      </c>
      <c r="B140" s="454"/>
      <c r="C140" s="454"/>
      <c r="D140" s="454"/>
      <c r="E140" s="454"/>
      <c r="F140" s="455"/>
      <c r="G140" s="205"/>
      <c r="H140" s="206"/>
      <c r="I140" s="207">
        <f>SUM(I137:I139)</f>
        <v>188</v>
      </c>
      <c r="K140" s="208"/>
    </row>
    <row r="141" spans="1:11" ht="18.75" x14ac:dyDescent="0.3">
      <c r="A141" s="465" t="s">
        <v>609</v>
      </c>
      <c r="B141" s="466"/>
      <c r="C141" s="466"/>
      <c r="D141" s="466"/>
      <c r="E141" s="466"/>
      <c r="F141" s="466"/>
      <c r="G141" s="466"/>
      <c r="H141" s="466"/>
      <c r="I141" s="467"/>
      <c r="K141" s="208"/>
    </row>
    <row r="142" spans="1:11" ht="18.75" x14ac:dyDescent="0.25">
      <c r="A142" s="209">
        <v>13.9</v>
      </c>
      <c r="B142" s="209">
        <v>12.5</v>
      </c>
      <c r="C142" s="209">
        <v>3.8</v>
      </c>
      <c r="D142" s="209">
        <v>184</v>
      </c>
      <c r="E142" s="210" t="s">
        <v>286</v>
      </c>
      <c r="F142" s="140" t="s">
        <v>683</v>
      </c>
      <c r="G142" s="211" t="str">
        <f>IFERROR(VLOOKUP(F142,[10]Реестр!A:K,2,0),"")</f>
        <v/>
      </c>
      <c r="H142" s="143">
        <v>100</v>
      </c>
      <c r="I142" s="450">
        <v>188</v>
      </c>
      <c r="K142" s="208"/>
    </row>
    <row r="143" spans="1:11" ht="18.75" x14ac:dyDescent="0.25">
      <c r="A143" s="209">
        <v>2.4</v>
      </c>
      <c r="B143" s="209">
        <v>3.7</v>
      </c>
      <c r="C143" s="209">
        <v>23.4</v>
      </c>
      <c r="D143" s="209">
        <v>138</v>
      </c>
      <c r="E143" s="210" t="s">
        <v>189</v>
      </c>
      <c r="F143" s="140" t="s">
        <v>560</v>
      </c>
      <c r="G143" s="211"/>
      <c r="H143" s="143">
        <v>150</v>
      </c>
      <c r="I143" s="451"/>
      <c r="K143" s="208"/>
    </row>
    <row r="144" spans="1:11" ht="18.75" x14ac:dyDescent="0.25">
      <c r="A144" s="263">
        <v>0.14000000000000001</v>
      </c>
      <c r="B144" s="263">
        <v>0.1</v>
      </c>
      <c r="C144" s="263">
        <v>1.5</v>
      </c>
      <c r="D144" s="263">
        <v>83.962620000000015</v>
      </c>
      <c r="E144" s="349" t="str">
        <f>"11/1"</f>
        <v>11/1</v>
      </c>
      <c r="F144" s="349" t="s">
        <v>317</v>
      </c>
      <c r="G144" s="211">
        <f>IFERROR(VLOOKUP(F144,[10]Реестр!A:K,2,0),"")</f>
        <v>200</v>
      </c>
      <c r="H144" s="143">
        <v>200</v>
      </c>
      <c r="I144" s="452"/>
      <c r="K144" s="208"/>
    </row>
    <row r="145" spans="1:9" ht="18.75" x14ac:dyDescent="0.3">
      <c r="A145" s="453" t="s">
        <v>16</v>
      </c>
      <c r="B145" s="454"/>
      <c r="C145" s="454"/>
      <c r="D145" s="454"/>
      <c r="E145" s="454"/>
      <c r="F145" s="455"/>
      <c r="G145" s="205"/>
      <c r="H145" s="206"/>
      <c r="I145" s="207">
        <f>SUM(I142:I144)</f>
        <v>188</v>
      </c>
    </row>
    <row r="146" spans="1:9" ht="18.75" x14ac:dyDescent="0.3">
      <c r="A146" s="462" t="s">
        <v>677</v>
      </c>
      <c r="B146" s="462"/>
      <c r="C146" s="462"/>
      <c r="D146" s="462"/>
      <c r="E146" s="462"/>
      <c r="F146" s="462"/>
      <c r="G146" s="462"/>
      <c r="H146" s="462"/>
      <c r="I146" s="462"/>
    </row>
    <row r="147" spans="1:9" ht="30" x14ac:dyDescent="0.25">
      <c r="A147" s="367">
        <v>1.03</v>
      </c>
      <c r="B147" s="353">
        <v>4.7699999999999996</v>
      </c>
      <c r="C147" s="353">
        <v>6.38</v>
      </c>
      <c r="D147" s="353">
        <v>68.989999999999995</v>
      </c>
      <c r="E147" s="357" t="str">
        <f>"7/80"</f>
        <v>7/80</v>
      </c>
      <c r="F147" s="228" t="s">
        <v>678</v>
      </c>
      <c r="G147" s="211" t="str">
        <f>IFERROR(VLOOKUP(F147,[2]Реестр!A:K,2,0),"")</f>
        <v/>
      </c>
      <c r="H147" s="210">
        <v>80</v>
      </c>
      <c r="I147" s="474">
        <v>220.51</v>
      </c>
    </row>
    <row r="148" spans="1:9" ht="18.75" x14ac:dyDescent="0.3">
      <c r="A148" s="263">
        <v>5.55</v>
      </c>
      <c r="B148" s="263">
        <v>7.8</v>
      </c>
      <c r="C148" s="263">
        <v>15.95</v>
      </c>
      <c r="D148" s="263">
        <v>199.78905478333331</v>
      </c>
      <c r="E148" s="350" t="str">
        <f>"6/70"</f>
        <v>6/70</v>
      </c>
      <c r="F148" s="350" t="s">
        <v>220</v>
      </c>
      <c r="G148" s="211" t="str">
        <f>IFERROR(VLOOKUP(F148,[2]Реестр!A:K,2,0),"")</f>
        <v>300</v>
      </c>
      <c r="H148" s="206">
        <v>250</v>
      </c>
      <c r="I148" s="475"/>
    </row>
    <row r="149" spans="1:9" ht="18.75" x14ac:dyDescent="0.3">
      <c r="A149" s="263">
        <v>16.579999999999998</v>
      </c>
      <c r="B149" s="263">
        <v>19.5</v>
      </c>
      <c r="C149" s="263">
        <v>68.38</v>
      </c>
      <c r="D149" s="263">
        <v>327.07</v>
      </c>
      <c r="E149" s="349" t="str">
        <f>"8/35"</f>
        <v>8/35</v>
      </c>
      <c r="F149" s="349" t="s">
        <v>549</v>
      </c>
      <c r="G149" s="211" t="str">
        <f>IFERROR(VLOOKUP(F149,[2]Реестр!A:K,2,0),"")</f>
        <v/>
      </c>
      <c r="H149" s="206">
        <v>200</v>
      </c>
      <c r="I149" s="475"/>
    </row>
    <row r="150" spans="1:9" ht="18.75" x14ac:dyDescent="0.3">
      <c r="A150" s="263">
        <v>0.14000000000000001</v>
      </c>
      <c r="B150" s="263">
        <v>0.1</v>
      </c>
      <c r="C150" s="263">
        <v>1.5</v>
      </c>
      <c r="D150" s="263">
        <v>83.962620000000015</v>
      </c>
      <c r="E150" s="349" t="str">
        <f>"11/1"</f>
        <v>11/1</v>
      </c>
      <c r="F150" s="349" t="s">
        <v>317</v>
      </c>
      <c r="G150" s="211">
        <f>IFERROR(VLOOKUP(F150,[2]Реестр!A:K,2,0),"")</f>
        <v>200</v>
      </c>
      <c r="H150" s="206">
        <v>200</v>
      </c>
      <c r="I150" s="475"/>
    </row>
    <row r="151" spans="1:9" ht="18.75" x14ac:dyDescent="0.3">
      <c r="A151" s="209">
        <v>2.64</v>
      </c>
      <c r="B151" s="209">
        <v>0.24</v>
      </c>
      <c r="C151" s="209">
        <v>18.72</v>
      </c>
      <c r="D151" s="209">
        <v>89.6</v>
      </c>
      <c r="E151" s="210" t="s">
        <v>471</v>
      </c>
      <c r="F151" s="217" t="s">
        <v>66</v>
      </c>
      <c r="G151" s="211" t="str">
        <f>IFERROR(VLOOKUP(F151,[2]Реестр!A:K,2,0),"")</f>
        <v>100</v>
      </c>
      <c r="H151" s="206">
        <v>40</v>
      </c>
      <c r="I151" s="475"/>
    </row>
    <row r="152" spans="1:9" ht="18.75" x14ac:dyDescent="0.3">
      <c r="A152" s="209">
        <v>2.64</v>
      </c>
      <c r="B152" s="209">
        <v>0.48</v>
      </c>
      <c r="C152" s="209">
        <v>13.36</v>
      </c>
      <c r="D152" s="209">
        <v>77.2</v>
      </c>
      <c r="E152" s="210" t="s">
        <v>471</v>
      </c>
      <c r="F152" s="217" t="s">
        <v>65</v>
      </c>
      <c r="G152" s="211" t="str">
        <f>IFERROR(VLOOKUP(F152,[2]Реестр!A:K,2,0),"")</f>
        <v>100</v>
      </c>
      <c r="H152" s="206">
        <v>40</v>
      </c>
      <c r="I152" s="475"/>
    </row>
    <row r="153" spans="1:9" ht="18.75" x14ac:dyDescent="0.3">
      <c r="A153" s="219">
        <v>7.7</v>
      </c>
      <c r="B153" s="219">
        <v>7.42</v>
      </c>
      <c r="C153" s="219">
        <v>32.090000000000003</v>
      </c>
      <c r="D153" s="219">
        <v>225.88</v>
      </c>
      <c r="E153" s="261" t="s">
        <v>408</v>
      </c>
      <c r="F153" s="140" t="s">
        <v>529</v>
      </c>
      <c r="G153" s="211">
        <f>IFERROR(VLOOKUP(F153,[2]Реестр!A:K,2,0),"")</f>
        <v>100</v>
      </c>
      <c r="H153" s="206">
        <v>100</v>
      </c>
      <c r="I153" s="476"/>
    </row>
    <row r="154" spans="1:9" ht="18.75" x14ac:dyDescent="0.3">
      <c r="A154" s="464" t="s">
        <v>16</v>
      </c>
      <c r="B154" s="464"/>
      <c r="C154" s="464"/>
      <c r="D154" s="464"/>
      <c r="E154" s="464"/>
      <c r="F154" s="464"/>
      <c r="G154" s="205"/>
      <c r="H154" s="206"/>
      <c r="I154" s="207">
        <v>220.51</v>
      </c>
    </row>
    <row r="156" spans="1:9" ht="18.75" x14ac:dyDescent="0.3">
      <c r="F156" s="254" t="s">
        <v>37</v>
      </c>
      <c r="G156" s="270"/>
      <c r="H156" s="257"/>
      <c r="I156" s="258" t="s">
        <v>554</v>
      </c>
    </row>
  </sheetData>
  <autoFilter ref="A4:I93" xr:uid="{00000000-0009-0000-0000-000001000000}"/>
  <mergeCells count="61">
    <mergeCell ref="A146:I146"/>
    <mergeCell ref="A154:F154"/>
    <mergeCell ref="I147:I153"/>
    <mergeCell ref="A13:I13"/>
    <mergeCell ref="A46:I46"/>
    <mergeCell ref="A93:F93"/>
    <mergeCell ref="A81:F81"/>
    <mergeCell ref="A82:I82"/>
    <mergeCell ref="A84:F84"/>
    <mergeCell ref="A54:F54"/>
    <mergeCell ref="A55:I55"/>
    <mergeCell ref="A56:I56"/>
    <mergeCell ref="A85:I85"/>
    <mergeCell ref="A79:I79"/>
    <mergeCell ref="A62:I62"/>
    <mergeCell ref="A21:F21"/>
    <mergeCell ref="A22:I22"/>
    <mergeCell ref="A29:F29"/>
    <mergeCell ref="A39:I39"/>
    <mergeCell ref="J4:J5"/>
    <mergeCell ref="A6:I6"/>
    <mergeCell ref="A12:F12"/>
    <mergeCell ref="A4:C4"/>
    <mergeCell ref="D4:D5"/>
    <mergeCell ref="E4:E5"/>
    <mergeCell ref="F4:F5"/>
    <mergeCell ref="G4:G5"/>
    <mergeCell ref="H4:H5"/>
    <mergeCell ref="I4:I5"/>
    <mergeCell ref="A1:B1"/>
    <mergeCell ref="H1:I1"/>
    <mergeCell ref="H2:I2"/>
    <mergeCell ref="A3:C3"/>
    <mergeCell ref="D3:E3"/>
    <mergeCell ref="H3:I3"/>
    <mergeCell ref="A40:I40"/>
    <mergeCell ref="A30:I30"/>
    <mergeCell ref="A38:F38"/>
    <mergeCell ref="I142:I144"/>
    <mergeCell ref="A145:F145"/>
    <mergeCell ref="A140:F140"/>
    <mergeCell ref="A141:I141"/>
    <mergeCell ref="I95:I99"/>
    <mergeCell ref="A100:F100"/>
    <mergeCell ref="A101:I101"/>
    <mergeCell ref="I102:I107"/>
    <mergeCell ref="A108:F108"/>
    <mergeCell ref="A136:I136"/>
    <mergeCell ref="I137:I139"/>
    <mergeCell ref="A127:I127"/>
    <mergeCell ref="A135:F135"/>
    <mergeCell ref="I119:I125"/>
    <mergeCell ref="A126:F126"/>
    <mergeCell ref="A109:I109"/>
    <mergeCell ref="I110:I116"/>
    <mergeCell ref="A117:F117"/>
    <mergeCell ref="A70:F70"/>
    <mergeCell ref="A71:I71"/>
    <mergeCell ref="A78:F78"/>
    <mergeCell ref="A94:I94"/>
    <mergeCell ref="A118:I118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100-000000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F10:F11 F44:F45 F106 F99 F60:F61</xm:sqref>
        </x14:dataValidation>
        <x14:dataValidation type="list" allowBlank="1" showInputMessage="1" showErrorMessage="1" xr:uid="{00000000-0002-0000-0100-000001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F7:F9 F50:F51 F150:F151 F107 F95:F97 F34:F35 F137:F139 F116 F102:F104 F17:F18 F122:F123 F25:F26 F41:F43 F57:F59 F66:F67 F74:F75 F89:F90 F113 F130:F131 F111 F87 F32 F64 F142:F144</xm:sqref>
        </x14:dataValidation>
        <x14:dataValidation type="list" allowBlank="1" showInputMessage="1" showErrorMessage="1" xr:uid="{00000000-0002-0000-01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F10:F11 F52 F132 F98:F99 F105:F106 F19 F27:F28 F36 F44:F45 F60:F61 F68 F76:F77 F91 F124 F152</xm:sqref>
        </x14:dataValidation>
        <x14:dataValidation type="list" allowBlank="1" showInputMessage="1" showErrorMessage="1" xr:uid="{00000000-0002-0000-0100-000003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F80 F23 F153 F133 F72</xm:sqref>
        </x14:dataValidation>
        <x14:dataValidation type="list" allowBlank="1" showInputMessage="1" showErrorMessage="1" xr:uid="{00000000-0002-0000-0100-000004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F98 F105 F19 F27:F28 F36 F132 F52 F68 F76:F77 F91 F124 F152</xm:sqref>
        </x14:dataValidation>
        <x14:dataValidation type="list" allowBlank="1" showInputMessage="1" showErrorMessage="1" xr:uid="{00000000-0002-0000-0100-000006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F14:F16 F73 F24 F88 F33 F83 F119:F121 F112 F110 F47:F49 F63 F31 F147:F149 F65 F86 F128:F129</xm:sqref>
        </x14:dataValidation>
        <x14:dataValidation type="list" allowBlank="1" showInputMessage="1" showErrorMessage="1" xr:uid="{00000000-0002-0000-0100-000007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F20 F37 F53 F69 F92 F115 F134 F125</xm:sqref>
        </x14:dataValidation>
        <x14:dataValidation type="list" allowBlank="1" showInputMessage="1" showErrorMessage="1" xr:uid="{00000000-0002-0000-0100-00000A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9"/>
  <dimension ref="A1:J20"/>
  <sheetViews>
    <sheetView workbookViewId="0">
      <selection activeCell="J2" sqref="J2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30" bestFit="1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480">
        <v>1</v>
      </c>
      <c r="C1" s="480"/>
      <c r="D1" s="480"/>
      <c r="E1" t="s">
        <v>47</v>
      </c>
      <c r="F1" s="4"/>
      <c r="I1" t="s">
        <v>48</v>
      </c>
      <c r="J1" s="5">
        <f>'16 Мл'!J1</f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x14ac:dyDescent="0.25">
      <c r="A4" s="10" t="s">
        <v>19</v>
      </c>
      <c r="B4" s="11" t="s">
        <v>21</v>
      </c>
      <c r="C4" s="12" t="e">
        <f>#REF!</f>
        <v>#REF!</v>
      </c>
      <c r="D4" s="12" t="e">
        <f>#REF!</f>
        <v>#REF!</v>
      </c>
      <c r="E4" s="12" t="e">
        <f>#REF!</f>
        <v>#REF!</v>
      </c>
      <c r="F4" s="12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/>
      <c r="B5" s="17" t="s">
        <v>22</v>
      </c>
      <c r="C5" s="12" t="e">
        <f>#REF!</f>
        <v>#REF!</v>
      </c>
      <c r="D5" s="12" t="e">
        <f>#REF!</f>
        <v>#REF!</v>
      </c>
      <c r="E5" s="12" t="e">
        <f>#REF!</f>
        <v>#REF!</v>
      </c>
      <c r="F5" s="12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 t="s">
        <v>54</v>
      </c>
      <c r="C6" s="59" t="e">
        <f>#REF!</f>
        <v>#REF!</v>
      </c>
      <c r="D6" s="59" t="e">
        <f>#REF!</f>
        <v>#REF!</v>
      </c>
      <c r="E6" s="12" t="e">
        <f>#REF!</f>
        <v>#REF!</v>
      </c>
      <c r="F6" s="12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8"/>
      <c r="C7" s="12" t="e">
        <f>#REF!</f>
        <v>#REF!</v>
      </c>
      <c r="D7" s="12" t="e">
        <f>#REF!</f>
        <v>#REF!</v>
      </c>
      <c r="E7" s="12" t="e">
        <f>#REF!</f>
        <v>#REF!</v>
      </c>
      <c r="F7" s="12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ht="15.75" thickBot="1" x14ac:dyDescent="0.3">
      <c r="A8" s="10"/>
      <c r="B8" s="19"/>
      <c r="C8" s="12" t="e">
        <f>#REF!</f>
        <v>#REF!</v>
      </c>
      <c r="D8" s="12" t="e">
        <f>#REF!</f>
        <v>#REF!</v>
      </c>
      <c r="E8" s="12" t="e">
        <f>#REF!</f>
        <v>#REF!</v>
      </c>
      <c r="F8" s="12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10" t="s">
        <v>25</v>
      </c>
      <c r="B12" s="11" t="s">
        <v>26</v>
      </c>
      <c r="C12" s="12" t="e">
        <f>#REF!</f>
        <v>#REF!</v>
      </c>
      <c r="D12" s="12" t="e">
        <f>#REF!</f>
        <v>#REF!</v>
      </c>
      <c r="E12" s="12" t="e">
        <f>#REF!</f>
        <v>#REF!</v>
      </c>
      <c r="F12" s="12" t="e">
        <f>#REF!</f>
        <v>#REF!</v>
      </c>
      <c r="G12" s="15" t="e">
        <f>#REF!</f>
        <v>#REF!</v>
      </c>
      <c r="H12" s="15" t="e">
        <f>#REF!</f>
        <v>#REF!</v>
      </c>
      <c r="I12" s="15" t="e">
        <f>#REF!</f>
        <v>#REF!</v>
      </c>
      <c r="J12" s="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2" t="e">
        <f>#REF!</f>
        <v>#REF!</v>
      </c>
      <c r="E13" s="12" t="e">
        <f>#REF!</f>
        <v>#REF!</v>
      </c>
      <c r="F13" s="12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2" t="e">
        <f>#REF!</f>
        <v>#REF!</v>
      </c>
      <c r="E14" s="12" t="e">
        <f>#REF!</f>
        <v>#REF!</v>
      </c>
      <c r="F14" s="12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2" t="e">
        <f>#REF!</f>
        <v>#REF!</v>
      </c>
      <c r="E15" s="12" t="e">
        <f>#REF!</f>
        <v>#REF!</v>
      </c>
      <c r="F15" s="12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2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2" t="e">
        <f>#REF!</f>
        <v>#REF!</v>
      </c>
      <c r="E17" s="12" t="e">
        <f>#REF!</f>
        <v>#REF!</v>
      </c>
      <c r="F17" s="12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x14ac:dyDescent="0.25">
      <c r="A18" s="10"/>
      <c r="B18" s="17" t="s">
        <v>32</v>
      </c>
      <c r="C18" s="12" t="e">
        <f>#REF!</f>
        <v>#REF!</v>
      </c>
      <c r="D18" s="12" t="e">
        <f>#REF!</f>
        <v>#REF!</v>
      </c>
      <c r="E18" s="12" t="e">
        <f>#REF!</f>
        <v>#REF!</v>
      </c>
      <c r="F18" s="12" t="e">
        <f>#REF!</f>
        <v>#REF!</v>
      </c>
      <c r="G18" s="15" t="e">
        <f>#REF!</f>
        <v>#REF!</v>
      </c>
      <c r="H18" s="15" t="e">
        <f>#REF!</f>
        <v>#REF!</v>
      </c>
      <c r="I18" s="15" t="e">
        <f>#REF!</f>
        <v>#REF!</v>
      </c>
      <c r="J18" s="16" t="e">
        <f>#REF!</f>
        <v>#REF!</v>
      </c>
    </row>
    <row r="19" spans="1:10" x14ac:dyDescent="0.25">
      <c r="A19" s="10"/>
      <c r="B19" s="45"/>
      <c r="C19" s="12" t="e">
        <f>#REF!</f>
        <v>#REF!</v>
      </c>
      <c r="D19" s="12" t="e">
        <f>#REF!</f>
        <v>#REF!</v>
      </c>
      <c r="E19" s="12" t="e">
        <f>#REF!</f>
        <v>#REF!</v>
      </c>
      <c r="F19" s="12" t="e">
        <f>#REF!</f>
        <v>#REF!</v>
      </c>
      <c r="G19" s="15" t="e">
        <f>#REF!</f>
        <v>#REF!</v>
      </c>
      <c r="H19" s="15" t="e">
        <f>#REF!</f>
        <v>#REF!</v>
      </c>
      <c r="I19" s="15" t="e">
        <f>#REF!</f>
        <v>#REF!</v>
      </c>
      <c r="J19" s="16" t="e">
        <f>#REF!</f>
        <v>#REF!</v>
      </c>
    </row>
    <row r="20" spans="1:10" ht="15.75" thickBot="1" x14ac:dyDescent="0.3">
      <c r="A20" s="32"/>
      <c r="B20" s="46"/>
      <c r="C20" s="39" t="e">
        <f>#REF!</f>
        <v>#REF!</v>
      </c>
      <c r="D20" s="39" t="e">
        <f>#REF!</f>
        <v>#REF!</v>
      </c>
      <c r="E20" s="39" t="e">
        <f>#REF!</f>
        <v>#REF!</v>
      </c>
      <c r="F20" s="39" t="e">
        <f>#REF!</f>
        <v>#REF!</v>
      </c>
      <c r="G20" s="42" t="e">
        <f>#REF!</f>
        <v>#REF!</v>
      </c>
      <c r="H20" s="42" t="e">
        <f>#REF!</f>
        <v>#REF!</v>
      </c>
      <c r="I20" s="42" t="e">
        <f>#REF!</f>
        <v>#REF!</v>
      </c>
      <c r="J20" s="43" t="e">
        <f>#REF!</f>
        <v>#REF!</v>
      </c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30"/>
  <dimension ref="A1:J20"/>
  <sheetViews>
    <sheetView workbookViewId="0">
      <selection activeCell="J2" sqref="J2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480">
        <v>1</v>
      </c>
      <c r="C1" s="480"/>
      <c r="D1" s="480"/>
      <c r="E1" t="s">
        <v>47</v>
      </c>
      <c r="F1" s="4"/>
      <c r="I1" t="s">
        <v>48</v>
      </c>
      <c r="J1" s="44">
        <f>'16 Мл'!J1</f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x14ac:dyDescent="0.25">
      <c r="A4" s="10" t="s">
        <v>19</v>
      </c>
      <c r="B4" s="11" t="s">
        <v>21</v>
      </c>
      <c r="C4" s="12" t="e">
        <f>#REF!</f>
        <v>#REF!</v>
      </c>
      <c r="D4" s="12" t="e">
        <f>#REF!</f>
        <v>#REF!</v>
      </c>
      <c r="E4" s="12" t="e">
        <f>#REF!</f>
        <v>#REF!</v>
      </c>
      <c r="F4" s="12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/>
      <c r="B5" s="17" t="s">
        <v>22</v>
      </c>
      <c r="C5" s="12" t="e">
        <f>#REF!</f>
        <v>#REF!</v>
      </c>
      <c r="D5" s="12" t="e">
        <f>#REF!</f>
        <v>#REF!</v>
      </c>
      <c r="E5" s="12" t="e">
        <f>#REF!</f>
        <v>#REF!</v>
      </c>
      <c r="F5" s="12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 t="s">
        <v>54</v>
      </c>
      <c r="C6" s="59" t="e">
        <f>#REF!</f>
        <v>#REF!</v>
      </c>
      <c r="D6" s="59" t="e">
        <f>#REF!</f>
        <v>#REF!</v>
      </c>
      <c r="E6" s="59" t="e">
        <f>#REF!</f>
        <v>#REF!</v>
      </c>
      <c r="F6" s="59" t="e">
        <f>#REF!</f>
        <v>#REF!</v>
      </c>
      <c r="G6" s="70" t="e">
        <f>#REF!</f>
        <v>#REF!</v>
      </c>
      <c r="H6" s="70" t="e">
        <f>#REF!</f>
        <v>#REF!</v>
      </c>
      <c r="I6" s="70" t="e">
        <f>#REF!</f>
        <v>#REF!</v>
      </c>
      <c r="J6" s="71" t="e">
        <f>#REF!</f>
        <v>#REF!</v>
      </c>
    </row>
    <row r="7" spans="1:10" x14ac:dyDescent="0.25">
      <c r="A7" s="10"/>
      <c r="B7" s="18"/>
      <c r="C7" s="12" t="e">
        <f>#REF!</f>
        <v>#REF!</v>
      </c>
      <c r="D7" s="12" t="e">
        <f>#REF!</f>
        <v>#REF!</v>
      </c>
      <c r="E7" s="12" t="e">
        <f>#REF!</f>
        <v>#REF!</v>
      </c>
      <c r="F7" s="12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ht="15.75" thickBot="1" x14ac:dyDescent="0.3">
      <c r="A8" s="10"/>
      <c r="B8" s="19"/>
      <c r="C8" s="12" t="e">
        <f>#REF!</f>
        <v>#REF!</v>
      </c>
      <c r="D8" s="12" t="e">
        <f>#REF!</f>
        <v>#REF!</v>
      </c>
      <c r="E8" s="12" t="e">
        <f>#REF!</f>
        <v>#REF!</v>
      </c>
      <c r="F8" s="12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10" t="s">
        <v>25</v>
      </c>
      <c r="B12" s="11" t="s">
        <v>26</v>
      </c>
      <c r="C12" s="12" t="e">
        <f>#REF!</f>
        <v>#REF!</v>
      </c>
      <c r="D12" s="12" t="e">
        <f>#REF!</f>
        <v>#REF!</v>
      </c>
      <c r="E12" s="12" t="e">
        <f>#REF!</f>
        <v>#REF!</v>
      </c>
      <c r="F12" s="12" t="e">
        <f>#REF!</f>
        <v>#REF!</v>
      </c>
      <c r="G12" s="15" t="e">
        <f>#REF!</f>
        <v>#REF!</v>
      </c>
      <c r="H12" s="15" t="e">
        <f>#REF!</f>
        <v>#REF!</v>
      </c>
      <c r="I12" s="15" t="e">
        <f>#REF!</f>
        <v>#REF!</v>
      </c>
      <c r="J12" s="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2" t="e">
        <f>#REF!</f>
        <v>#REF!</v>
      </c>
      <c r="E13" s="12" t="e">
        <f>#REF!</f>
        <v>#REF!</v>
      </c>
      <c r="F13" s="12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2" t="e">
        <f>#REF!</f>
        <v>#REF!</v>
      </c>
      <c r="E14" s="12" t="e">
        <f>#REF!</f>
        <v>#REF!</v>
      </c>
      <c r="F14" s="12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2" t="e">
        <f>#REF!</f>
        <v>#REF!</v>
      </c>
      <c r="E15" s="12" t="e">
        <f>#REF!</f>
        <v>#REF!</v>
      </c>
      <c r="F15" s="12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2" t="e">
        <f>#REF!</f>
        <v>#REF!</v>
      </c>
      <c r="E16" s="12" t="e">
        <f>#REF!</f>
        <v>#REF!</v>
      </c>
      <c r="F16" s="12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2" t="e">
        <f>#REF!</f>
        <v>#REF!</v>
      </c>
      <c r="E17" s="12" t="e">
        <f>#REF!</f>
        <v>#REF!</v>
      </c>
      <c r="F17" s="12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x14ac:dyDescent="0.25">
      <c r="A18" s="10"/>
      <c r="B18" s="17" t="s">
        <v>32</v>
      </c>
      <c r="C18" s="12" t="e">
        <f>#REF!</f>
        <v>#REF!</v>
      </c>
      <c r="D18" s="12" t="e">
        <f>#REF!</f>
        <v>#REF!</v>
      </c>
      <c r="E18" s="12" t="e">
        <f>#REF!</f>
        <v>#REF!</v>
      </c>
      <c r="F18" s="12" t="e">
        <f>#REF!</f>
        <v>#REF!</v>
      </c>
      <c r="G18" s="15" t="e">
        <f>#REF!</f>
        <v>#REF!</v>
      </c>
      <c r="H18" s="15" t="e">
        <f>#REF!</f>
        <v>#REF!</v>
      </c>
      <c r="I18" s="15" t="e">
        <f>#REF!</f>
        <v>#REF!</v>
      </c>
      <c r="J18" s="16" t="e">
        <f>#REF!</f>
        <v>#REF!</v>
      </c>
    </row>
    <row r="19" spans="1:10" x14ac:dyDescent="0.25">
      <c r="A19" s="10"/>
      <c r="B19" s="45"/>
      <c r="C19" s="12" t="e">
        <f>#REF!</f>
        <v>#REF!</v>
      </c>
      <c r="D19" s="12" t="e">
        <f>#REF!</f>
        <v>#REF!</v>
      </c>
      <c r="E19" s="12" t="e">
        <f>#REF!</f>
        <v>#REF!</v>
      </c>
      <c r="F19" s="12" t="e">
        <f>#REF!</f>
        <v>#REF!</v>
      </c>
      <c r="G19" s="15" t="e">
        <f>#REF!</f>
        <v>#REF!</v>
      </c>
      <c r="H19" s="15" t="e">
        <f>#REF!</f>
        <v>#REF!</v>
      </c>
      <c r="I19" s="15" t="e">
        <f>#REF!</f>
        <v>#REF!</v>
      </c>
      <c r="J19" s="16" t="e">
        <f>#REF!</f>
        <v>#REF!</v>
      </c>
    </row>
    <row r="20" spans="1:10" ht="15.75" thickBot="1" x14ac:dyDescent="0.3">
      <c r="A20" s="32"/>
      <c r="B20" s="46"/>
      <c r="C20" s="39" t="e">
        <f>#REF!</f>
        <v>#REF!</v>
      </c>
      <c r="D20" s="39" t="e">
        <f>#REF!</f>
        <v>#REF!</v>
      </c>
      <c r="E20" s="39" t="e">
        <f>#REF!</f>
        <v>#REF!</v>
      </c>
      <c r="F20" s="39" t="e">
        <f>#REF!</f>
        <v>#REF!</v>
      </c>
      <c r="G20" s="42" t="e">
        <f>#REF!</f>
        <v>#REF!</v>
      </c>
      <c r="H20" s="42" t="e">
        <f>#REF!</f>
        <v>#REF!</v>
      </c>
      <c r="I20" s="42" t="e">
        <f>#REF!</f>
        <v>#REF!</v>
      </c>
      <c r="J20" s="43" t="e">
        <f>#REF!</f>
        <v>#REF!</v>
      </c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2">
    <pageSetUpPr fitToPage="1"/>
  </sheetPr>
  <dimension ref="A1:N156"/>
  <sheetViews>
    <sheetView view="pageBreakPreview" topLeftCell="A115" zoomScaleNormal="100" zoomScaleSheetLayoutView="100" workbookViewId="0">
      <selection activeCell="F7" sqref="F7"/>
    </sheetView>
  </sheetViews>
  <sheetFormatPr defaultRowHeight="15.75" x14ac:dyDescent="0.25"/>
  <cols>
    <col min="1" max="1" width="11.28515625" style="378" customWidth="1"/>
    <col min="2" max="2" width="11.28515625" style="379" customWidth="1"/>
    <col min="3" max="3" width="10.5703125" style="380" customWidth="1"/>
    <col min="4" max="4" width="10.28515625" style="380" customWidth="1"/>
    <col min="5" max="5" width="14" style="380" customWidth="1"/>
    <col min="6" max="6" width="57.85546875" style="380" customWidth="1"/>
    <col min="7" max="7" width="17.85546875" style="380" hidden="1" customWidth="1"/>
    <col min="8" max="9" width="15.5703125" style="380" customWidth="1"/>
    <col min="10" max="10" width="25.5703125" style="378" customWidth="1"/>
    <col min="11" max="1025" width="8.7109375" style="377" customWidth="1"/>
    <col min="1026" max="16384" width="9.140625" style="377"/>
  </cols>
  <sheetData>
    <row r="1" spans="1:14" s="234" customFormat="1" ht="29.25" customHeight="1" x14ac:dyDescent="0.25">
      <c r="A1" s="468" t="s">
        <v>0</v>
      </c>
      <c r="B1" s="468"/>
      <c r="C1" s="235"/>
      <c r="D1" s="235"/>
      <c r="E1" s="235"/>
      <c r="F1" s="231" t="s">
        <v>1</v>
      </c>
      <c r="G1" s="231"/>
      <c r="H1" s="439" t="s">
        <v>0</v>
      </c>
      <c r="I1" s="439"/>
    </row>
    <row r="2" spans="1:14" s="234" customFormat="1" ht="29.25" customHeight="1" x14ac:dyDescent="0.25">
      <c r="A2" s="235" t="s">
        <v>2</v>
      </c>
      <c r="B2" s="235"/>
      <c r="C2" s="259"/>
      <c r="D2" s="259"/>
      <c r="E2" s="259"/>
      <c r="F2" s="231" t="s">
        <v>567</v>
      </c>
      <c r="G2" s="231"/>
      <c r="H2" s="469" t="s">
        <v>568</v>
      </c>
      <c r="I2" s="469"/>
      <c r="J2" s="235"/>
    </row>
    <row r="3" spans="1:14" s="234" customFormat="1" ht="29.25" customHeight="1" x14ac:dyDescent="0.25">
      <c r="A3" s="437" t="s">
        <v>522</v>
      </c>
      <c r="B3" s="437"/>
      <c r="C3" s="437"/>
      <c r="D3" s="438"/>
      <c r="E3" s="438"/>
      <c r="F3" s="231" t="s">
        <v>748</v>
      </c>
      <c r="G3" s="231"/>
      <c r="H3" s="470" t="s">
        <v>673</v>
      </c>
      <c r="I3" s="470"/>
    </row>
    <row r="4" spans="1:14" s="202" customFormat="1" ht="15" customHeight="1" x14ac:dyDescent="0.25">
      <c r="A4" s="472" t="s">
        <v>4</v>
      </c>
      <c r="B4" s="472"/>
      <c r="C4" s="472"/>
      <c r="D4" s="471" t="s">
        <v>5</v>
      </c>
      <c r="E4" s="471" t="s">
        <v>6</v>
      </c>
      <c r="F4" s="471" t="s">
        <v>7</v>
      </c>
      <c r="G4" s="473" t="s">
        <v>8</v>
      </c>
      <c r="H4" s="471" t="s">
        <v>9</v>
      </c>
      <c r="I4" s="471" t="s">
        <v>10</v>
      </c>
      <c r="J4" s="471" t="s">
        <v>11</v>
      </c>
    </row>
    <row r="5" spans="1:14" s="202" customFormat="1" x14ac:dyDescent="0.25">
      <c r="A5" s="232" t="s">
        <v>12</v>
      </c>
      <c r="B5" s="232" t="s">
        <v>13</v>
      </c>
      <c r="C5" s="232" t="s">
        <v>14</v>
      </c>
      <c r="D5" s="471"/>
      <c r="E5" s="471"/>
      <c r="F5" s="471"/>
      <c r="G5" s="473"/>
      <c r="H5" s="471"/>
      <c r="I5" s="471"/>
      <c r="J5" s="471"/>
    </row>
    <row r="6" spans="1:14" s="202" customFormat="1" ht="18" customHeight="1" x14ac:dyDescent="0.3">
      <c r="A6" s="462" t="s">
        <v>15</v>
      </c>
      <c r="B6" s="462"/>
      <c r="C6" s="462"/>
      <c r="D6" s="462"/>
      <c r="E6" s="462"/>
      <c r="F6" s="462"/>
      <c r="G6" s="462"/>
      <c r="H6" s="462"/>
      <c r="I6" s="462"/>
      <c r="J6" s="212"/>
    </row>
    <row r="7" spans="1:14" s="202" customFormat="1" ht="18" customHeight="1" x14ac:dyDescent="0.3">
      <c r="A7" s="243">
        <v>4.2300000000000004</v>
      </c>
      <c r="B7" s="243">
        <v>4.96</v>
      </c>
      <c r="C7" s="243">
        <v>38.700000000000003</v>
      </c>
      <c r="D7" s="243">
        <v>228.9</v>
      </c>
      <c r="E7" s="242" t="str">
        <f>"1/50"</f>
        <v>1/50</v>
      </c>
      <c r="F7" s="242" t="s">
        <v>706</v>
      </c>
      <c r="G7" s="211" t="str">
        <f>IFERROR(VLOOKUP(F7,[1]Реестр!A:K,2,0),"")</f>
        <v/>
      </c>
      <c r="H7" s="210">
        <v>30</v>
      </c>
      <c r="I7" s="207">
        <v>38.369999999999997</v>
      </c>
      <c r="J7" s="201" t="str">
        <f>IFERROR(VLOOKUP(O7,Реестр!#REF!,3,0)*Q7/P7,"")</f>
        <v/>
      </c>
    </row>
    <row r="8" spans="1:14" s="202" customFormat="1" ht="18" customHeight="1" x14ac:dyDescent="0.3">
      <c r="A8" s="243">
        <v>13.79</v>
      </c>
      <c r="B8" s="243">
        <v>14.6</v>
      </c>
      <c r="C8" s="243">
        <v>23.4</v>
      </c>
      <c r="D8" s="243">
        <v>266.7</v>
      </c>
      <c r="E8" s="242" t="str">
        <f>"4/56"</f>
        <v>4/56</v>
      </c>
      <c r="F8" s="242" t="s">
        <v>705</v>
      </c>
      <c r="G8" s="211"/>
      <c r="H8" s="210">
        <v>150</v>
      </c>
      <c r="I8" s="207">
        <v>75.42</v>
      </c>
      <c r="J8" s="201" t="str">
        <f>IFERROR(VLOOKUP(O8,Реестр!#REF!,3,0)*Q8/P8,"")</f>
        <v/>
      </c>
    </row>
    <row r="9" spans="1:14" s="202" customFormat="1" ht="18" customHeight="1" x14ac:dyDescent="0.3">
      <c r="A9" s="243">
        <v>0.18</v>
      </c>
      <c r="B9" s="243">
        <v>0.04</v>
      </c>
      <c r="C9" s="243">
        <v>13.75</v>
      </c>
      <c r="D9" s="243">
        <v>53.136642799999997</v>
      </c>
      <c r="E9" s="242" t="str">
        <f>"11/56"</f>
        <v>11/56</v>
      </c>
      <c r="F9" s="242" t="s">
        <v>499</v>
      </c>
      <c r="G9" s="211"/>
      <c r="H9" s="210">
        <v>200</v>
      </c>
      <c r="I9" s="207">
        <v>8.15</v>
      </c>
      <c r="J9" s="201" t="str">
        <f>IFERROR(VLOOKUP(O9,Реестр!#REF!,3,0)*Q9/P9,"")</f>
        <v/>
      </c>
    </row>
    <row r="10" spans="1:14" s="202" customFormat="1" ht="18" customHeight="1" x14ac:dyDescent="0.3">
      <c r="A10" s="264">
        <v>1.3</v>
      </c>
      <c r="B10" s="264">
        <v>0.2</v>
      </c>
      <c r="C10" s="264">
        <v>6.7</v>
      </c>
      <c r="D10" s="264">
        <v>39</v>
      </c>
      <c r="E10" s="381" t="str">
        <f>"-"</f>
        <v>-</v>
      </c>
      <c r="F10" s="381" t="s">
        <v>707</v>
      </c>
      <c r="G10" s="211"/>
      <c r="H10" s="206">
        <v>20</v>
      </c>
      <c r="I10" s="207">
        <v>1.8</v>
      </c>
      <c r="J10" s="201" t="str">
        <f>IFERROR(VLOOKUP(O10,Реестр!#REF!,3,0)*Q10/P10,"")</f>
        <v/>
      </c>
    </row>
    <row r="11" spans="1:14" s="202" customFormat="1" ht="18.75" x14ac:dyDescent="0.3">
      <c r="A11" s="264">
        <v>0.52</v>
      </c>
      <c r="B11" s="264">
        <v>0.52</v>
      </c>
      <c r="C11" s="264">
        <v>15.08</v>
      </c>
      <c r="D11" s="264">
        <v>63.283999999999985</v>
      </c>
      <c r="E11" s="381" t="str">
        <f>"-"</f>
        <v>-</v>
      </c>
      <c r="F11" s="381" t="s">
        <v>708</v>
      </c>
      <c r="G11" s="211"/>
      <c r="H11" s="206">
        <v>130</v>
      </c>
      <c r="I11" s="207">
        <v>25.78</v>
      </c>
      <c r="J11" s="206"/>
      <c r="K11" s="208"/>
    </row>
    <row r="12" spans="1:14" s="202" customFormat="1" ht="18" customHeight="1" x14ac:dyDescent="0.3">
      <c r="A12" s="464" t="s">
        <v>16</v>
      </c>
      <c r="B12" s="464"/>
      <c r="C12" s="464"/>
      <c r="D12" s="464"/>
      <c r="E12" s="464"/>
      <c r="F12" s="464"/>
      <c r="G12" s="205"/>
      <c r="H12" s="206"/>
      <c r="I12" s="207">
        <f>SUM(I7:I11)</f>
        <v>149.51999999999998</v>
      </c>
      <c r="J12" s="206">
        <v>149.52000000000001</v>
      </c>
      <c r="K12" s="208">
        <f>I12-J12</f>
        <v>0</v>
      </c>
      <c r="L12" s="208"/>
    </row>
    <row r="13" spans="1:14" s="202" customFormat="1" ht="18" customHeight="1" x14ac:dyDescent="0.3">
      <c r="A13" s="462" t="s">
        <v>17</v>
      </c>
      <c r="B13" s="462"/>
      <c r="C13" s="462"/>
      <c r="D13" s="462"/>
      <c r="E13" s="462"/>
      <c r="F13" s="462"/>
      <c r="G13" s="462"/>
      <c r="H13" s="462"/>
      <c r="I13" s="462"/>
      <c r="J13" s="212"/>
      <c r="N13" s="202" t="s">
        <v>328</v>
      </c>
    </row>
    <row r="14" spans="1:14" s="202" customFormat="1" ht="30" x14ac:dyDescent="0.3">
      <c r="A14" s="383">
        <v>1.33</v>
      </c>
      <c r="B14" s="383">
        <v>5.12</v>
      </c>
      <c r="C14" s="383">
        <v>4.0999999999999996</v>
      </c>
      <c r="D14" s="383">
        <v>73.52</v>
      </c>
      <c r="E14" s="382" t="s">
        <v>709</v>
      </c>
      <c r="F14" s="242" t="s">
        <v>710</v>
      </c>
      <c r="G14" s="211" t="str">
        <f>IFERROR(VLOOKUP(F14,[2]Реестр!A:K,2,0),"")</f>
        <v/>
      </c>
      <c r="H14" s="210">
        <v>80</v>
      </c>
      <c r="I14" s="230">
        <v>44.94</v>
      </c>
      <c r="J14" s="201" t="str">
        <f>IFERROR(VLOOKUP(O14,Реестр!#REF!,3,0)*Q14/P14,"")</f>
        <v/>
      </c>
    </row>
    <row r="15" spans="1:14" s="202" customFormat="1" ht="18" customHeight="1" x14ac:dyDescent="0.3">
      <c r="A15" s="263">
        <v>4.1100000000000003</v>
      </c>
      <c r="B15" s="263">
        <v>4.7699999999999996</v>
      </c>
      <c r="C15" s="263">
        <v>19.5</v>
      </c>
      <c r="D15" s="263">
        <v>143.13</v>
      </c>
      <c r="E15" s="242" t="s">
        <v>711</v>
      </c>
      <c r="F15" s="242" t="s">
        <v>716</v>
      </c>
      <c r="G15" s="211" t="str">
        <f>IFERROR(VLOOKUP(F15,[2]Реестр!A:K,2,0),"")</f>
        <v/>
      </c>
      <c r="H15" s="206">
        <v>250</v>
      </c>
      <c r="I15" s="207">
        <v>50</v>
      </c>
      <c r="J15" s="201" t="str">
        <f>IFERROR(VLOOKUP(O15,Реестр!#REF!,3,0)*Q15/P15,"")</f>
        <v/>
      </c>
    </row>
    <row r="16" spans="1:14" s="202" customFormat="1" ht="18" customHeight="1" x14ac:dyDescent="0.3">
      <c r="A16" s="263">
        <v>15.55</v>
      </c>
      <c r="B16" s="263">
        <v>15.4</v>
      </c>
      <c r="C16" s="263">
        <v>57.1</v>
      </c>
      <c r="D16" s="263">
        <v>364.2</v>
      </c>
      <c r="E16" s="242" t="s">
        <v>712</v>
      </c>
      <c r="F16" s="242" t="s">
        <v>713</v>
      </c>
      <c r="G16" s="211" t="str">
        <f>IFERROR(VLOOKUP(F16,[2]Реестр!A:K,2,0),"")</f>
        <v/>
      </c>
      <c r="H16" s="206">
        <v>200</v>
      </c>
      <c r="I16" s="206">
        <v>102.59</v>
      </c>
      <c r="J16" s="201" t="str">
        <f>IFERROR(VLOOKUP(O16,Реестр!#REF!,3,0)*Q16/P16,"")</f>
        <v/>
      </c>
    </row>
    <row r="17" spans="1:12" s="202" customFormat="1" ht="18" customHeight="1" x14ac:dyDescent="0.3">
      <c r="A17" s="263">
        <v>0.18</v>
      </c>
      <c r="B17" s="263">
        <v>0.05</v>
      </c>
      <c r="C17" s="263">
        <v>0.32</v>
      </c>
      <c r="D17" s="263">
        <v>37.582527999999996</v>
      </c>
      <c r="E17" s="242" t="s">
        <v>714</v>
      </c>
      <c r="F17" s="242" t="s">
        <v>328</v>
      </c>
      <c r="G17" s="211">
        <f>IFERROR(VLOOKUP(F17,[2]Реестр!A:K,2,0),"")</f>
        <v>200</v>
      </c>
      <c r="H17" s="206">
        <v>200</v>
      </c>
      <c r="I17" s="207">
        <v>19.54</v>
      </c>
      <c r="J17" s="201"/>
    </row>
    <row r="18" spans="1:12" s="202" customFormat="1" ht="18" customHeight="1" x14ac:dyDescent="0.3">
      <c r="A18" s="264">
        <v>3.3</v>
      </c>
      <c r="B18" s="264">
        <v>0.3</v>
      </c>
      <c r="C18" s="264">
        <v>23.4</v>
      </c>
      <c r="D18" s="264">
        <v>112</v>
      </c>
      <c r="E18" s="242" t="s">
        <v>471</v>
      </c>
      <c r="F18" s="242" t="s">
        <v>715</v>
      </c>
      <c r="G18" s="211" t="str">
        <f>IFERROR(VLOOKUP(F18,[2]Реестр!A:K,2,0),"")</f>
        <v/>
      </c>
      <c r="H18" s="206">
        <v>50</v>
      </c>
      <c r="I18" s="207">
        <v>4.5</v>
      </c>
      <c r="J18" s="201" t="str">
        <f>IFERROR(VLOOKUP(O18,Реестр!#REF!,3,0)*Q18/P18,"")</f>
        <v/>
      </c>
    </row>
    <row r="19" spans="1:12" s="202" customFormat="1" ht="18" customHeight="1" x14ac:dyDescent="0.3">
      <c r="A19" s="241">
        <v>2</v>
      </c>
      <c r="B19" s="241">
        <v>0.4</v>
      </c>
      <c r="C19" s="241">
        <v>10</v>
      </c>
      <c r="D19" s="241">
        <v>58</v>
      </c>
      <c r="E19" s="381" t="s">
        <v>471</v>
      </c>
      <c r="F19" s="381" t="s">
        <v>707</v>
      </c>
      <c r="G19" s="211" t="str">
        <f>IFERROR(VLOOKUP(F19,[2]Реестр!A:K,2,0),"")</f>
        <v/>
      </c>
      <c r="H19" s="206">
        <v>30</v>
      </c>
      <c r="I19" s="203">
        <v>2.7</v>
      </c>
      <c r="J19" s="201" t="str">
        <f>IFERROR(VLOOKUP(O19,Реестр!#REF!,3,0)*Q19/P19,"")</f>
        <v/>
      </c>
    </row>
    <row r="20" spans="1:12" s="202" customFormat="1" ht="18" customHeight="1" x14ac:dyDescent="0.3">
      <c r="A20" s="209"/>
      <c r="B20" s="209"/>
      <c r="C20" s="209"/>
      <c r="D20" s="209"/>
      <c r="E20" s="210"/>
      <c r="F20" s="217"/>
      <c r="G20" s="211"/>
      <c r="H20" s="206"/>
      <c r="I20" s="203"/>
      <c r="J20" s="201"/>
    </row>
    <row r="21" spans="1:12" s="202" customFormat="1" ht="18.75" x14ac:dyDescent="0.3">
      <c r="A21" s="464" t="s">
        <v>16</v>
      </c>
      <c r="B21" s="464"/>
      <c r="C21" s="464"/>
      <c r="D21" s="464"/>
      <c r="E21" s="464"/>
      <c r="F21" s="464"/>
      <c r="G21" s="205"/>
      <c r="H21" s="206"/>
      <c r="I21" s="207">
        <f>SUM(I14:I20)</f>
        <v>224.26999999999998</v>
      </c>
      <c r="J21" s="206">
        <v>224.27</v>
      </c>
      <c r="K21" s="208">
        <f>J21-I21</f>
        <v>0</v>
      </c>
    </row>
    <row r="22" spans="1:12" s="202" customFormat="1" ht="18.75" x14ac:dyDescent="0.3">
      <c r="A22" s="462" t="s">
        <v>500</v>
      </c>
      <c r="B22" s="462"/>
      <c r="C22" s="462"/>
      <c r="D22" s="462"/>
      <c r="E22" s="462"/>
      <c r="F22" s="462"/>
      <c r="G22" s="462"/>
      <c r="H22" s="462"/>
      <c r="I22" s="462"/>
      <c r="J22" s="212"/>
    </row>
    <row r="23" spans="1:12" s="202" customFormat="1" ht="18.75" x14ac:dyDescent="0.25">
      <c r="A23" s="263">
        <v>0.48</v>
      </c>
      <c r="B23" s="263">
        <v>2.37</v>
      </c>
      <c r="C23" s="263">
        <v>3.09</v>
      </c>
      <c r="D23" s="263">
        <v>36.64</v>
      </c>
      <c r="E23" s="384" t="str">
        <f>"7/26"</f>
        <v>7/26</v>
      </c>
      <c r="F23" s="385" t="s">
        <v>717</v>
      </c>
      <c r="G23" s="211" t="str">
        <f>IFERROR(VLOOKUP(F23,[1]Реестр!A:K,2,0),"")</f>
        <v/>
      </c>
      <c r="H23" s="210">
        <v>30</v>
      </c>
      <c r="I23" s="230">
        <v>19.260000000000002</v>
      </c>
      <c r="J23" s="212"/>
    </row>
    <row r="24" spans="1:12" s="202" customFormat="1" ht="18.75" x14ac:dyDescent="0.3">
      <c r="A24" s="348">
        <v>19.440000000000001</v>
      </c>
      <c r="B24" s="348">
        <v>19.420000000000002</v>
      </c>
      <c r="C24" s="348">
        <v>57.63</v>
      </c>
      <c r="D24" s="348">
        <v>436.2</v>
      </c>
      <c r="E24" s="242" t="s">
        <v>712</v>
      </c>
      <c r="F24" s="242" t="s">
        <v>713</v>
      </c>
      <c r="G24" s="211" t="str">
        <f>IFERROR(VLOOKUP(F24,[2]Реестр!A:K,2,0),"")</f>
        <v/>
      </c>
      <c r="H24" s="206">
        <v>250</v>
      </c>
      <c r="I24" s="206">
        <v>130.94</v>
      </c>
      <c r="J24" s="201" t="str">
        <f>IFERROR(VLOOKUP(O24,Реестр!#REF!,3,0)*Q24/P24,"")</f>
        <v/>
      </c>
    </row>
    <row r="25" spans="1:12" s="202" customFormat="1" ht="18.75" x14ac:dyDescent="0.3">
      <c r="A25" s="263">
        <v>0.18</v>
      </c>
      <c r="B25" s="263">
        <v>0.05</v>
      </c>
      <c r="C25" s="263">
        <v>0.32</v>
      </c>
      <c r="D25" s="263">
        <v>37.582527999999996</v>
      </c>
      <c r="E25" s="242" t="s">
        <v>714</v>
      </c>
      <c r="F25" s="386" t="s">
        <v>328</v>
      </c>
      <c r="G25" s="211">
        <f>IFERROR(VLOOKUP(F25,[2]Реестр!A:K,2,0),"")</f>
        <v>200</v>
      </c>
      <c r="H25" s="206">
        <v>200</v>
      </c>
      <c r="I25" s="207">
        <v>19.54</v>
      </c>
      <c r="J25" s="201"/>
    </row>
    <row r="26" spans="1:12" s="202" customFormat="1" ht="18.75" x14ac:dyDescent="0.3">
      <c r="A26" s="264">
        <v>3.3</v>
      </c>
      <c r="B26" s="264">
        <v>0.3</v>
      </c>
      <c r="C26" s="264">
        <v>23.4</v>
      </c>
      <c r="D26" s="264">
        <v>112</v>
      </c>
      <c r="E26" s="242" t="str">
        <f>"-"</f>
        <v>-</v>
      </c>
      <c r="F26" s="387" t="s">
        <v>715</v>
      </c>
      <c r="G26" s="211" t="str">
        <f>IFERROR(VLOOKUP(F26,[2]Реестр!A:K,2,0),"")</f>
        <v/>
      </c>
      <c r="H26" s="206">
        <v>50</v>
      </c>
      <c r="I26" s="207">
        <v>4.5</v>
      </c>
      <c r="J26" s="201" t="str">
        <f>IFERROR(VLOOKUP(O26,Реестр!#REF!,3,0)*Q26/P26,"")</f>
        <v/>
      </c>
    </row>
    <row r="27" spans="1:12" s="202" customFormat="1" ht="18.75" x14ac:dyDescent="0.3">
      <c r="A27" s="264">
        <v>2</v>
      </c>
      <c r="B27" s="264">
        <v>0.4</v>
      </c>
      <c r="C27" s="264">
        <v>10</v>
      </c>
      <c r="D27" s="264">
        <v>58</v>
      </c>
      <c r="E27" s="381" t="str">
        <f>"-"</f>
        <v>-</v>
      </c>
      <c r="F27" s="381" t="s">
        <v>707</v>
      </c>
      <c r="G27" s="211" t="str">
        <f>IFERROR(VLOOKUP(F27,[2]Реестр!A:K,2,0),"")</f>
        <v/>
      </c>
      <c r="H27" s="206">
        <v>30</v>
      </c>
      <c r="I27" s="203">
        <v>2.7</v>
      </c>
      <c r="J27" s="201"/>
    </row>
    <row r="28" spans="1:12" s="202" customFormat="1" ht="18.75" x14ac:dyDescent="0.3">
      <c r="A28" s="196"/>
      <c r="B28" s="196"/>
      <c r="C28" s="196"/>
      <c r="D28" s="196"/>
      <c r="E28" s="197"/>
      <c r="F28" s="217"/>
      <c r="G28" s="199"/>
      <c r="H28" s="206"/>
      <c r="I28" s="203"/>
      <c r="J28" s="201" t="str">
        <f>IFERROR(VLOOKUP(O28,Реестр!#REF!,3,0)*Q28/P28,"")</f>
        <v/>
      </c>
    </row>
    <row r="29" spans="1:12" s="202" customFormat="1" ht="18.75" x14ac:dyDescent="0.3">
      <c r="A29" s="453" t="s">
        <v>16</v>
      </c>
      <c r="B29" s="454"/>
      <c r="C29" s="454"/>
      <c r="D29" s="454"/>
      <c r="E29" s="454"/>
      <c r="F29" s="455"/>
      <c r="G29" s="205"/>
      <c r="H29" s="206"/>
      <c r="I29" s="207">
        <f>SUM(I23:I28)</f>
        <v>176.93999999999997</v>
      </c>
      <c r="J29" s="206">
        <v>176.94</v>
      </c>
      <c r="K29" s="208">
        <f>I29-J29</f>
        <v>0</v>
      </c>
      <c r="L29" s="208"/>
    </row>
    <row r="30" spans="1:12" s="202" customFormat="1" ht="18.75" x14ac:dyDescent="0.3">
      <c r="A30" s="462" t="s">
        <v>501</v>
      </c>
      <c r="B30" s="462"/>
      <c r="C30" s="462"/>
      <c r="D30" s="462"/>
      <c r="E30" s="462"/>
      <c r="F30" s="462"/>
      <c r="G30" s="462"/>
      <c r="H30" s="462"/>
      <c r="I30" s="462"/>
      <c r="J30" s="201"/>
    </row>
    <row r="31" spans="1:12" s="202" customFormat="1" ht="30" x14ac:dyDescent="0.3">
      <c r="A31" s="383">
        <v>2.2999999999999998</v>
      </c>
      <c r="B31" s="383">
        <v>6.01</v>
      </c>
      <c r="C31" s="383">
        <v>4.01</v>
      </c>
      <c r="D31" s="383">
        <v>72.147796</v>
      </c>
      <c r="E31" s="242" t="s">
        <v>709</v>
      </c>
      <c r="F31" s="242" t="s">
        <v>710</v>
      </c>
      <c r="G31" s="211" t="str">
        <f>IFERROR(VLOOKUP(F31,[2]Реестр!A:K,2,0),"")</f>
        <v/>
      </c>
      <c r="H31" s="210">
        <v>100</v>
      </c>
      <c r="I31" s="230">
        <v>56.17</v>
      </c>
      <c r="J31" s="201"/>
    </row>
    <row r="32" spans="1:12" s="202" customFormat="1" ht="18.75" x14ac:dyDescent="0.3">
      <c r="A32" s="263">
        <v>4.1100000000000003</v>
      </c>
      <c r="B32" s="263">
        <v>4.7699999999999996</v>
      </c>
      <c r="C32" s="263">
        <v>26.5</v>
      </c>
      <c r="D32" s="263">
        <v>213.5</v>
      </c>
      <c r="E32" s="242" t="s">
        <v>711</v>
      </c>
      <c r="F32" s="242" t="s">
        <v>716</v>
      </c>
      <c r="G32" s="211" t="str">
        <f>IFERROR(VLOOKUP(F32,[2]Реестр!A:K,2,0),"")</f>
        <v/>
      </c>
      <c r="H32" s="206">
        <v>250</v>
      </c>
      <c r="I32" s="207">
        <v>50</v>
      </c>
      <c r="J32" s="206"/>
      <c r="K32" s="208">
        <f>I38-J32</f>
        <v>265.40000000000003</v>
      </c>
    </row>
    <row r="33" spans="1:12" s="202" customFormat="1" ht="18.75" x14ac:dyDescent="0.3">
      <c r="A33" s="348">
        <v>17.5</v>
      </c>
      <c r="B33" s="348">
        <v>15.6</v>
      </c>
      <c r="C33" s="348">
        <v>42.3</v>
      </c>
      <c r="D33" s="348">
        <v>265.7</v>
      </c>
      <c r="E33" s="242" t="s">
        <v>712</v>
      </c>
      <c r="F33" s="242" t="s">
        <v>713</v>
      </c>
      <c r="G33" s="211" t="str">
        <f>IFERROR(VLOOKUP(F33,[2]Реестр!A:K,2,0),"")</f>
        <v/>
      </c>
      <c r="H33" s="206">
        <v>250</v>
      </c>
      <c r="I33" s="206">
        <v>130.94</v>
      </c>
      <c r="J33" s="212"/>
    </row>
    <row r="34" spans="1:12" s="202" customFormat="1" ht="18.75" x14ac:dyDescent="0.3">
      <c r="A34" s="263">
        <v>3.94</v>
      </c>
      <c r="B34" s="263">
        <v>5.1100000000000003</v>
      </c>
      <c r="C34" s="263">
        <v>27.5</v>
      </c>
      <c r="D34" s="263">
        <v>170.19544859999999</v>
      </c>
      <c r="E34" s="242" t="s">
        <v>714</v>
      </c>
      <c r="F34" s="386" t="s">
        <v>328</v>
      </c>
      <c r="G34" s="211">
        <f>IFERROR(VLOOKUP(F34,[2]Реестр!A:K,2,0),"")</f>
        <v>200</v>
      </c>
      <c r="H34" s="206">
        <v>200</v>
      </c>
      <c r="I34" s="207">
        <v>19.54</v>
      </c>
      <c r="J34" s="212"/>
    </row>
    <row r="35" spans="1:12" s="202" customFormat="1" ht="18.75" x14ac:dyDescent="0.3">
      <c r="A35" s="264">
        <v>0.14000000000000001</v>
      </c>
      <c r="B35" s="264">
        <v>0.1</v>
      </c>
      <c r="C35" s="264">
        <v>1.5</v>
      </c>
      <c r="D35" s="264">
        <v>83.962620000000015</v>
      </c>
      <c r="E35" s="242" t="s">
        <v>471</v>
      </c>
      <c r="F35" s="242" t="s">
        <v>715</v>
      </c>
      <c r="G35" s="211" t="str">
        <f>IFERROR(VLOOKUP(F35,[2]Реестр!A:K,2,0),"")</f>
        <v/>
      </c>
      <c r="H35" s="206">
        <v>50</v>
      </c>
      <c r="I35" s="207">
        <v>4.5</v>
      </c>
      <c r="J35" s="212"/>
    </row>
    <row r="36" spans="1:12" s="202" customFormat="1" ht="18.75" x14ac:dyDescent="0.3">
      <c r="A36" s="264">
        <v>3.3</v>
      </c>
      <c r="B36" s="264">
        <v>0.3</v>
      </c>
      <c r="C36" s="264">
        <v>23.4</v>
      </c>
      <c r="D36" s="264">
        <v>112</v>
      </c>
      <c r="E36" s="381" t="s">
        <v>471</v>
      </c>
      <c r="F36" s="381" t="s">
        <v>707</v>
      </c>
      <c r="G36" s="211" t="str">
        <f>IFERROR(VLOOKUP(F36,[2]Реестр!A:K,2,0),"")</f>
        <v/>
      </c>
      <c r="H36" s="206">
        <v>50</v>
      </c>
      <c r="I36" s="203">
        <v>4.25</v>
      </c>
      <c r="J36" s="394"/>
    </row>
    <row r="37" spans="1:12" s="202" customFormat="1" ht="18.75" x14ac:dyDescent="0.3">
      <c r="A37" s="209"/>
      <c r="B37" s="209"/>
      <c r="C37" s="209"/>
      <c r="D37" s="209"/>
      <c r="E37" s="210"/>
      <c r="F37" s="217"/>
      <c r="G37" s="211"/>
      <c r="H37" s="206"/>
      <c r="I37" s="203"/>
      <c r="J37" s="394"/>
    </row>
    <row r="38" spans="1:12" s="202" customFormat="1" ht="18.75" x14ac:dyDescent="0.3">
      <c r="A38" s="453" t="s">
        <v>16</v>
      </c>
      <c r="B38" s="454"/>
      <c r="C38" s="454"/>
      <c r="D38" s="454"/>
      <c r="E38" s="454"/>
      <c r="F38" s="455"/>
      <c r="G38" s="205"/>
      <c r="H38" s="206"/>
      <c r="I38" s="207">
        <f>SUM(I31:I37)</f>
        <v>265.40000000000003</v>
      </c>
      <c r="J38" s="206">
        <v>265.39999999999998</v>
      </c>
      <c r="K38" s="208">
        <f>I38-J38</f>
        <v>0</v>
      </c>
    </row>
    <row r="39" spans="1:12" s="202" customFormat="1" ht="18.75" x14ac:dyDescent="0.3">
      <c r="A39" s="462" t="s">
        <v>18</v>
      </c>
      <c r="B39" s="462"/>
      <c r="C39" s="462"/>
      <c r="D39" s="462"/>
      <c r="E39" s="462"/>
      <c r="F39" s="462"/>
      <c r="G39" s="462"/>
      <c r="H39" s="462"/>
      <c r="I39" s="462"/>
      <c r="J39" s="394"/>
    </row>
    <row r="40" spans="1:12" s="202" customFormat="1" ht="18.75" x14ac:dyDescent="0.3">
      <c r="A40" s="462" t="s">
        <v>19</v>
      </c>
      <c r="B40" s="462"/>
      <c r="C40" s="462"/>
      <c r="D40" s="462"/>
      <c r="E40" s="462"/>
      <c r="F40" s="462"/>
      <c r="G40" s="462"/>
      <c r="H40" s="462"/>
      <c r="I40" s="462"/>
      <c r="J40" s="394"/>
    </row>
    <row r="41" spans="1:12" s="202" customFormat="1" ht="18.75" x14ac:dyDescent="0.3">
      <c r="A41" s="243">
        <v>4.2300000000000004</v>
      </c>
      <c r="B41" s="243">
        <v>4.96</v>
      </c>
      <c r="C41" s="243">
        <v>38.700000000000003</v>
      </c>
      <c r="D41" s="243">
        <v>228.9</v>
      </c>
      <c r="E41" s="242" t="str">
        <f>"1/50"</f>
        <v>1/50</v>
      </c>
      <c r="F41" s="242" t="s">
        <v>706</v>
      </c>
      <c r="G41" s="211" t="str">
        <f>IFERROR(VLOOKUP(F41,[1]Реестр!A:K,2,0),"")</f>
        <v/>
      </c>
      <c r="H41" s="210">
        <v>30</v>
      </c>
      <c r="I41" s="207">
        <v>38.369999999999997</v>
      </c>
      <c r="J41" s="394" t="s">
        <v>20</v>
      </c>
    </row>
    <row r="42" spans="1:12" s="202" customFormat="1" ht="18.75" x14ac:dyDescent="0.3">
      <c r="A42" s="243">
        <v>13.79</v>
      </c>
      <c r="B42" s="243">
        <v>14.6</v>
      </c>
      <c r="C42" s="243">
        <v>23.4</v>
      </c>
      <c r="D42" s="243">
        <v>266.7</v>
      </c>
      <c r="E42" s="242" t="str">
        <f>"4/56"</f>
        <v>4/56</v>
      </c>
      <c r="F42" s="242" t="s">
        <v>705</v>
      </c>
      <c r="G42" s="211"/>
      <c r="H42" s="210">
        <v>150</v>
      </c>
      <c r="I42" s="207">
        <v>75.42</v>
      </c>
      <c r="J42" s="394" t="s">
        <v>537</v>
      </c>
      <c r="K42" s="237"/>
      <c r="L42" s="237"/>
    </row>
    <row r="43" spans="1:12" s="202" customFormat="1" ht="18.75" x14ac:dyDescent="0.3">
      <c r="A43" s="243">
        <v>0.18</v>
      </c>
      <c r="B43" s="243">
        <v>0.04</v>
      </c>
      <c r="C43" s="243">
        <v>13.75</v>
      </c>
      <c r="D43" s="243">
        <v>53.136642799999997</v>
      </c>
      <c r="E43" s="242" t="str">
        <f>"11/56"</f>
        <v>11/56</v>
      </c>
      <c r="F43" s="242" t="s">
        <v>499</v>
      </c>
      <c r="G43" s="211"/>
      <c r="H43" s="210">
        <v>200</v>
      </c>
      <c r="I43" s="207">
        <v>8.15</v>
      </c>
      <c r="J43" s="394" t="s">
        <v>477</v>
      </c>
      <c r="K43" s="237"/>
      <c r="L43" s="237"/>
    </row>
    <row r="44" spans="1:12" s="202" customFormat="1" ht="18.75" x14ac:dyDescent="0.3">
      <c r="A44" s="264">
        <v>1.3</v>
      </c>
      <c r="B44" s="264">
        <v>0.2</v>
      </c>
      <c r="C44" s="264">
        <v>6.7</v>
      </c>
      <c r="D44" s="264">
        <v>39</v>
      </c>
      <c r="E44" s="381" t="str">
        <f>"-"</f>
        <v>-</v>
      </c>
      <c r="F44" s="381" t="s">
        <v>707</v>
      </c>
      <c r="G44" s="211"/>
      <c r="H44" s="206">
        <v>20</v>
      </c>
      <c r="I44" s="207">
        <v>1.8</v>
      </c>
      <c r="J44" s="394" t="s">
        <v>479</v>
      </c>
      <c r="K44" s="237"/>
      <c r="L44" s="237"/>
    </row>
    <row r="45" spans="1:12" s="202" customFormat="1" ht="18.75" x14ac:dyDescent="0.3">
      <c r="A45" s="264">
        <v>0.52</v>
      </c>
      <c r="B45" s="264">
        <v>0.52</v>
      </c>
      <c r="C45" s="264">
        <v>15.08</v>
      </c>
      <c r="D45" s="264">
        <v>63.283999999999985</v>
      </c>
      <c r="E45" s="381" t="str">
        <f>"-"</f>
        <v>-</v>
      </c>
      <c r="F45" s="381" t="s">
        <v>708</v>
      </c>
      <c r="G45" s="211"/>
      <c r="H45" s="206">
        <v>130</v>
      </c>
      <c r="I45" s="207">
        <v>25.78</v>
      </c>
      <c r="J45" s="394" t="s">
        <v>475</v>
      </c>
      <c r="K45" s="238"/>
      <c r="L45" s="237"/>
    </row>
    <row r="46" spans="1:12" s="202" customFormat="1" ht="18.75" x14ac:dyDescent="0.3">
      <c r="A46" s="465" t="s">
        <v>25</v>
      </c>
      <c r="B46" s="466"/>
      <c r="C46" s="466"/>
      <c r="D46" s="466"/>
      <c r="E46" s="466"/>
      <c r="F46" s="466"/>
      <c r="G46" s="466"/>
      <c r="H46" s="466"/>
      <c r="I46" s="467"/>
      <c r="J46" s="394"/>
    </row>
    <row r="47" spans="1:12" s="234" customFormat="1" ht="30" x14ac:dyDescent="0.25">
      <c r="A47" s="383">
        <v>1.33</v>
      </c>
      <c r="B47" s="383">
        <v>5.12</v>
      </c>
      <c r="C47" s="383">
        <v>4.0999999999999996</v>
      </c>
      <c r="D47" s="383">
        <v>73.52</v>
      </c>
      <c r="E47" s="382" t="s">
        <v>709</v>
      </c>
      <c r="F47" s="242" t="s">
        <v>710</v>
      </c>
      <c r="G47" s="211" t="str">
        <f>IFERROR(VLOOKUP(F47,[2]Реестр!A:K,2,0),"")</f>
        <v/>
      </c>
      <c r="H47" s="210">
        <v>80</v>
      </c>
      <c r="I47" s="230">
        <v>44.94</v>
      </c>
      <c r="J47" s="239" t="s">
        <v>538</v>
      </c>
    </row>
    <row r="48" spans="1:12" s="202" customFormat="1" ht="18.75" x14ac:dyDescent="0.3">
      <c r="A48" s="263">
        <v>4.1100000000000003</v>
      </c>
      <c r="B48" s="263">
        <v>4.7699999999999996</v>
      </c>
      <c r="C48" s="263">
        <v>19.5</v>
      </c>
      <c r="D48" s="263">
        <v>143.13</v>
      </c>
      <c r="E48" s="242" t="s">
        <v>711</v>
      </c>
      <c r="F48" s="242" t="s">
        <v>716</v>
      </c>
      <c r="G48" s="211" t="str">
        <f>IFERROR(VLOOKUP(F48,[2]Реестр!A:K,2,0),"")</f>
        <v/>
      </c>
      <c r="H48" s="206">
        <v>250</v>
      </c>
      <c r="I48" s="207">
        <v>50</v>
      </c>
      <c r="J48" s="394" t="s">
        <v>478</v>
      </c>
    </row>
    <row r="49" spans="1:11" s="202" customFormat="1" ht="18.75" x14ac:dyDescent="0.3">
      <c r="A49" s="263">
        <v>15.55</v>
      </c>
      <c r="B49" s="263">
        <v>15.4</v>
      </c>
      <c r="C49" s="263">
        <v>57.1</v>
      </c>
      <c r="D49" s="263">
        <v>364.2</v>
      </c>
      <c r="E49" s="242" t="s">
        <v>712</v>
      </c>
      <c r="F49" s="242" t="s">
        <v>713</v>
      </c>
      <c r="G49" s="211" t="str">
        <f>IFERROR(VLOOKUP(F49,[2]Реестр!A:K,2,0),"")</f>
        <v/>
      </c>
      <c r="H49" s="206">
        <v>200</v>
      </c>
      <c r="I49" s="206">
        <v>102.59</v>
      </c>
      <c r="J49" s="394" t="s">
        <v>537</v>
      </c>
    </row>
    <row r="50" spans="1:11" s="202" customFormat="1" ht="18.75" x14ac:dyDescent="0.3">
      <c r="A50" s="263">
        <v>0.18</v>
      </c>
      <c r="B50" s="263">
        <v>0.05</v>
      </c>
      <c r="C50" s="263">
        <v>0.32</v>
      </c>
      <c r="D50" s="263">
        <v>37.582527999999996</v>
      </c>
      <c r="E50" s="242" t="s">
        <v>714</v>
      </c>
      <c r="F50" s="242" t="s">
        <v>328</v>
      </c>
      <c r="G50" s="211">
        <f>IFERROR(VLOOKUP(F50,[2]Реестр!A:K,2,0),"")</f>
        <v>200</v>
      </c>
      <c r="H50" s="206">
        <v>200</v>
      </c>
      <c r="I50" s="207">
        <v>19.54</v>
      </c>
      <c r="J50" s="394" t="s">
        <v>29</v>
      </c>
    </row>
    <row r="51" spans="1:11" s="202" customFormat="1" ht="18.75" x14ac:dyDescent="0.3">
      <c r="A51" s="264">
        <v>3.3</v>
      </c>
      <c r="B51" s="264">
        <v>0.3</v>
      </c>
      <c r="C51" s="264">
        <v>23.4</v>
      </c>
      <c r="D51" s="264">
        <v>112</v>
      </c>
      <c r="E51" s="242" t="s">
        <v>471</v>
      </c>
      <c r="F51" s="242" t="s">
        <v>715</v>
      </c>
      <c r="G51" s="211" t="str">
        <f>IFERROR(VLOOKUP(F51,[2]Реестр!A:K,2,0),"")</f>
        <v/>
      </c>
      <c r="H51" s="206">
        <v>50</v>
      </c>
      <c r="I51" s="207">
        <v>4.5</v>
      </c>
      <c r="J51" s="394" t="s">
        <v>479</v>
      </c>
    </row>
    <row r="52" spans="1:11" s="202" customFormat="1" ht="18.75" x14ac:dyDescent="0.3">
      <c r="A52" s="241">
        <v>2</v>
      </c>
      <c r="B52" s="241">
        <v>0.4</v>
      </c>
      <c r="C52" s="241">
        <v>10</v>
      </c>
      <c r="D52" s="241">
        <v>58</v>
      </c>
      <c r="E52" s="381" t="s">
        <v>471</v>
      </c>
      <c r="F52" s="381" t="s">
        <v>707</v>
      </c>
      <c r="G52" s="211" t="str">
        <f>IFERROR(VLOOKUP(F52,[2]Реестр!A:K,2,0),"")</f>
        <v/>
      </c>
      <c r="H52" s="206">
        <v>30</v>
      </c>
      <c r="I52" s="203">
        <v>2.7</v>
      </c>
      <c r="J52" s="394" t="s">
        <v>539</v>
      </c>
    </row>
    <row r="53" spans="1:11" s="202" customFormat="1" ht="18.75" x14ac:dyDescent="0.3">
      <c r="A53" s="209"/>
      <c r="B53" s="209"/>
      <c r="C53" s="209"/>
      <c r="D53" s="209"/>
      <c r="E53" s="210"/>
      <c r="F53" s="217"/>
      <c r="G53" s="211"/>
      <c r="H53" s="206"/>
      <c r="I53" s="203"/>
      <c r="J53" s="394" t="s">
        <v>540</v>
      </c>
    </row>
    <row r="54" spans="1:11" s="202" customFormat="1" ht="18.75" x14ac:dyDescent="0.3">
      <c r="A54" s="464" t="s">
        <v>16</v>
      </c>
      <c r="B54" s="464"/>
      <c r="C54" s="464"/>
      <c r="D54" s="464"/>
      <c r="E54" s="464"/>
      <c r="F54" s="464"/>
      <c r="G54" s="206"/>
      <c r="H54" s="206"/>
      <c r="I54" s="207">
        <f>SUM(I41:I45,I47:I53)</f>
        <v>373.78999999999996</v>
      </c>
      <c r="J54" s="206">
        <v>212.99</v>
      </c>
      <c r="K54" s="208">
        <f>I54-J54</f>
        <v>160.79999999999995</v>
      </c>
    </row>
    <row r="55" spans="1:11" s="202" customFormat="1" ht="18.75" x14ac:dyDescent="0.3">
      <c r="A55" s="465" t="s">
        <v>33</v>
      </c>
      <c r="B55" s="466"/>
      <c r="C55" s="466"/>
      <c r="D55" s="466"/>
      <c r="E55" s="466"/>
      <c r="F55" s="466"/>
      <c r="G55" s="466"/>
      <c r="H55" s="466"/>
      <c r="I55" s="467"/>
      <c r="J55" s="394"/>
    </row>
    <row r="56" spans="1:11" s="202" customFormat="1" ht="18.75" x14ac:dyDescent="0.3">
      <c r="A56" s="465" t="s">
        <v>19</v>
      </c>
      <c r="B56" s="466"/>
      <c r="C56" s="466"/>
      <c r="D56" s="466"/>
      <c r="E56" s="466"/>
      <c r="F56" s="466"/>
      <c r="G56" s="466"/>
      <c r="H56" s="466"/>
      <c r="I56" s="467"/>
      <c r="J56" s="394"/>
    </row>
    <row r="57" spans="1:11" s="202" customFormat="1" ht="18.75" x14ac:dyDescent="0.3">
      <c r="A57" s="243">
        <v>3.76</v>
      </c>
      <c r="B57" s="243">
        <v>3.05</v>
      </c>
      <c r="C57" s="243">
        <v>15.15</v>
      </c>
      <c r="D57" s="243">
        <v>112.3</v>
      </c>
      <c r="E57" s="242" t="str">
        <f>"1/50"</f>
        <v>1/50</v>
      </c>
      <c r="F57" s="242" t="s">
        <v>718</v>
      </c>
      <c r="G57" s="211" t="str">
        <f>IFERROR(VLOOKUP(F57,[1]Реестр!A:K,2,0),"")</f>
        <v/>
      </c>
      <c r="H57" s="210">
        <v>30</v>
      </c>
      <c r="I57" s="207">
        <v>38.369999999999997</v>
      </c>
      <c r="J57" s="394" t="s">
        <v>20</v>
      </c>
    </row>
    <row r="58" spans="1:11" s="202" customFormat="1" ht="18.75" x14ac:dyDescent="0.3">
      <c r="A58" s="243">
        <v>16.39</v>
      </c>
      <c r="B58" s="243">
        <v>19.7</v>
      </c>
      <c r="C58" s="243">
        <v>41.3</v>
      </c>
      <c r="D58" s="243">
        <v>392.3</v>
      </c>
      <c r="E58" s="242" t="str">
        <f>"4/56"</f>
        <v>4/56</v>
      </c>
      <c r="F58" s="242" t="s">
        <v>705</v>
      </c>
      <c r="G58" s="211"/>
      <c r="H58" s="210">
        <v>200</v>
      </c>
      <c r="I58" s="207">
        <v>101.94</v>
      </c>
      <c r="J58" s="394" t="s">
        <v>537</v>
      </c>
    </row>
    <row r="59" spans="1:11" s="202" customFormat="1" ht="18.75" x14ac:dyDescent="0.3">
      <c r="A59" s="243">
        <v>0.18</v>
      </c>
      <c r="B59" s="243">
        <v>0.04</v>
      </c>
      <c r="C59" s="243">
        <v>13.75</v>
      </c>
      <c r="D59" s="243">
        <v>53.136642799999997</v>
      </c>
      <c r="E59" s="242" t="str">
        <f>"11/56"</f>
        <v>11/56</v>
      </c>
      <c r="F59" s="242" t="s">
        <v>499</v>
      </c>
      <c r="G59" s="211"/>
      <c r="H59" s="210">
        <v>200</v>
      </c>
      <c r="I59" s="207">
        <v>8.15</v>
      </c>
      <c r="J59" s="394" t="s">
        <v>477</v>
      </c>
    </row>
    <row r="60" spans="1:11" s="202" customFormat="1" ht="18.75" x14ac:dyDescent="0.3">
      <c r="A60" s="264">
        <v>2</v>
      </c>
      <c r="B60" s="264">
        <v>0.4</v>
      </c>
      <c r="C60" s="264">
        <v>10</v>
      </c>
      <c r="D60" s="264">
        <v>58</v>
      </c>
      <c r="E60" s="381" t="str">
        <f>"-"</f>
        <v>-</v>
      </c>
      <c r="F60" s="381" t="s">
        <v>707</v>
      </c>
      <c r="G60" s="211"/>
      <c r="H60" s="206">
        <v>30</v>
      </c>
      <c r="I60" s="207">
        <v>2.7</v>
      </c>
      <c r="J60" s="394" t="s">
        <v>541</v>
      </c>
      <c r="K60" s="237"/>
    </row>
    <row r="61" spans="1:11" s="202" customFormat="1" ht="18.75" x14ac:dyDescent="0.3">
      <c r="A61" s="264">
        <v>0.52</v>
      </c>
      <c r="B61" s="264">
        <v>0.52</v>
      </c>
      <c r="C61" s="264">
        <v>15.08</v>
      </c>
      <c r="D61" s="264">
        <v>63.283999999999985</v>
      </c>
      <c r="E61" s="381" t="str">
        <f>"-"</f>
        <v>-</v>
      </c>
      <c r="F61" s="381" t="s">
        <v>708</v>
      </c>
      <c r="G61" s="211"/>
      <c r="H61" s="206">
        <v>130</v>
      </c>
      <c r="I61" s="207">
        <v>25.78</v>
      </c>
      <c r="J61" s="394" t="s">
        <v>475</v>
      </c>
      <c r="K61" s="237"/>
    </row>
    <row r="62" spans="1:11" s="202" customFormat="1" ht="18.75" x14ac:dyDescent="0.3">
      <c r="A62" s="465" t="s">
        <v>25</v>
      </c>
      <c r="B62" s="466"/>
      <c r="C62" s="466"/>
      <c r="D62" s="466"/>
      <c r="E62" s="466"/>
      <c r="F62" s="466"/>
      <c r="G62" s="466"/>
      <c r="H62" s="466"/>
      <c r="I62" s="467"/>
      <c r="J62" s="201" t="str">
        <f>IFERROR(VLOOKUP(O62,Реестр!#REF!,3,0)*Q62/P62,"")</f>
        <v/>
      </c>
      <c r="K62" s="237"/>
    </row>
    <row r="63" spans="1:11" s="234" customFormat="1" ht="30" x14ac:dyDescent="0.25">
      <c r="A63" s="383">
        <v>2.2999999999999998</v>
      </c>
      <c r="B63" s="383">
        <v>6.01</v>
      </c>
      <c r="C63" s="383">
        <v>4.01</v>
      </c>
      <c r="D63" s="383">
        <v>72.147796</v>
      </c>
      <c r="E63" s="242" t="s">
        <v>709</v>
      </c>
      <c r="F63" s="242" t="s">
        <v>710</v>
      </c>
      <c r="G63" s="211" t="str">
        <f>IFERROR(VLOOKUP(F63,[2]Реестр!A:K,2,0),"")</f>
        <v/>
      </c>
      <c r="H63" s="210">
        <v>100</v>
      </c>
      <c r="I63" s="230">
        <v>56.17</v>
      </c>
      <c r="J63" s="239" t="s">
        <v>538</v>
      </c>
      <c r="K63" s="240"/>
    </row>
    <row r="64" spans="1:11" s="202" customFormat="1" ht="18.75" x14ac:dyDescent="0.3">
      <c r="A64" s="263">
        <v>4.1100000000000003</v>
      </c>
      <c r="B64" s="263">
        <v>4.7699999999999996</v>
      </c>
      <c r="C64" s="263">
        <v>26.5</v>
      </c>
      <c r="D64" s="263">
        <v>213.5</v>
      </c>
      <c r="E64" s="242" t="s">
        <v>711</v>
      </c>
      <c r="F64" s="242" t="s">
        <v>716</v>
      </c>
      <c r="G64" s="211" t="str">
        <f>IFERROR(VLOOKUP(F64,[2]Реестр!A:K,2,0),"")</f>
        <v/>
      </c>
      <c r="H64" s="206">
        <v>250</v>
      </c>
      <c r="I64" s="207">
        <v>50</v>
      </c>
      <c r="J64" s="394" t="s">
        <v>478</v>
      </c>
      <c r="K64" s="237"/>
    </row>
    <row r="65" spans="1:12" s="202" customFormat="1" ht="18.75" x14ac:dyDescent="0.3">
      <c r="A65" s="348">
        <v>17.5</v>
      </c>
      <c r="B65" s="348">
        <v>15.6</v>
      </c>
      <c r="C65" s="348">
        <v>42.3</v>
      </c>
      <c r="D65" s="348">
        <v>265.7</v>
      </c>
      <c r="E65" s="242" t="s">
        <v>712</v>
      </c>
      <c r="F65" s="242" t="s">
        <v>713</v>
      </c>
      <c r="G65" s="211" t="str">
        <f>IFERROR(VLOOKUP(F65,[2]Реестр!A:K,2,0),"")</f>
        <v/>
      </c>
      <c r="H65" s="206">
        <v>250</v>
      </c>
      <c r="I65" s="206">
        <v>130.94</v>
      </c>
      <c r="J65" s="394" t="s">
        <v>537</v>
      </c>
      <c r="K65" s="237"/>
    </row>
    <row r="66" spans="1:12" s="202" customFormat="1" ht="18.75" x14ac:dyDescent="0.3">
      <c r="A66" s="263">
        <v>3.94</v>
      </c>
      <c r="B66" s="263">
        <v>5.1100000000000003</v>
      </c>
      <c r="C66" s="263">
        <v>27.5</v>
      </c>
      <c r="D66" s="263">
        <v>170.19544859999999</v>
      </c>
      <c r="E66" s="242" t="s">
        <v>714</v>
      </c>
      <c r="F66" s="386" t="s">
        <v>328</v>
      </c>
      <c r="G66" s="211">
        <f>IFERROR(VLOOKUP(F66,[2]Реестр!A:K,2,0),"")</f>
        <v>200</v>
      </c>
      <c r="H66" s="206">
        <v>200</v>
      </c>
      <c r="I66" s="207">
        <v>19.54</v>
      </c>
      <c r="J66" s="394" t="s">
        <v>29</v>
      </c>
      <c r="K66" s="237"/>
    </row>
    <row r="67" spans="1:12" s="202" customFormat="1" ht="18.75" x14ac:dyDescent="0.3">
      <c r="A67" s="264">
        <v>0.14000000000000001</v>
      </c>
      <c r="B67" s="264">
        <v>0.1</v>
      </c>
      <c r="C67" s="264">
        <v>1.5</v>
      </c>
      <c r="D67" s="264">
        <v>83.962620000000015</v>
      </c>
      <c r="E67" s="242" t="s">
        <v>471</v>
      </c>
      <c r="F67" s="242" t="s">
        <v>715</v>
      </c>
      <c r="G67" s="211" t="str">
        <f>IFERROR(VLOOKUP(F67,[2]Реестр!A:K,2,0),"")</f>
        <v/>
      </c>
      <c r="H67" s="206">
        <v>50</v>
      </c>
      <c r="I67" s="207">
        <v>4.5</v>
      </c>
      <c r="J67" s="394" t="s">
        <v>479</v>
      </c>
      <c r="K67" s="208"/>
    </row>
    <row r="68" spans="1:12" s="202" customFormat="1" ht="18.75" x14ac:dyDescent="0.3">
      <c r="A68" s="264">
        <v>3.3</v>
      </c>
      <c r="B68" s="264">
        <v>0.3</v>
      </c>
      <c r="C68" s="264">
        <v>23.4</v>
      </c>
      <c r="D68" s="264">
        <v>112</v>
      </c>
      <c r="E68" s="381" t="s">
        <v>471</v>
      </c>
      <c r="F68" s="381" t="s">
        <v>707</v>
      </c>
      <c r="G68" s="211" t="str">
        <f>IFERROR(VLOOKUP(F68,[2]Реестр!A:K,2,0),"")</f>
        <v/>
      </c>
      <c r="H68" s="206">
        <v>50</v>
      </c>
      <c r="I68" s="207">
        <v>4.25</v>
      </c>
      <c r="J68" s="394" t="s">
        <v>23</v>
      </c>
    </row>
    <row r="69" spans="1:12" s="202" customFormat="1" ht="18.75" x14ac:dyDescent="0.3">
      <c r="A69" s="209"/>
      <c r="B69" s="209"/>
      <c r="C69" s="209"/>
      <c r="D69" s="209"/>
      <c r="E69" s="210"/>
      <c r="F69" s="217"/>
      <c r="G69" s="211"/>
      <c r="H69" s="206"/>
      <c r="I69" s="207"/>
      <c r="J69" s="394" t="s">
        <v>540</v>
      </c>
    </row>
    <row r="70" spans="1:12" s="202" customFormat="1" ht="18" customHeight="1" x14ac:dyDescent="0.3">
      <c r="A70" s="464" t="s">
        <v>16</v>
      </c>
      <c r="B70" s="464"/>
      <c r="C70" s="464"/>
      <c r="D70" s="464"/>
      <c r="E70" s="464"/>
      <c r="F70" s="464"/>
      <c r="G70" s="206"/>
      <c r="H70" s="206"/>
      <c r="I70" s="207">
        <f>SUM(I57:I61)+SUM(I63:I69)</f>
        <v>442.34000000000003</v>
      </c>
      <c r="J70" s="201">
        <v>442.34</v>
      </c>
      <c r="K70" s="208">
        <f>J70-I70</f>
        <v>0</v>
      </c>
    </row>
    <row r="71" spans="1:12" s="202" customFormat="1" ht="18.75" x14ac:dyDescent="0.3">
      <c r="A71" s="465" t="s">
        <v>34</v>
      </c>
      <c r="B71" s="466"/>
      <c r="C71" s="466"/>
      <c r="D71" s="466"/>
      <c r="E71" s="466"/>
      <c r="F71" s="466"/>
      <c r="G71" s="466"/>
      <c r="H71" s="466"/>
      <c r="I71" s="467"/>
      <c r="J71" s="206"/>
      <c r="K71" s="208"/>
    </row>
    <row r="72" spans="1:12" s="202" customFormat="1" ht="18.75" x14ac:dyDescent="0.25">
      <c r="A72" s="263">
        <v>0.48</v>
      </c>
      <c r="B72" s="263">
        <v>2.37</v>
      </c>
      <c r="C72" s="263">
        <v>3.09</v>
      </c>
      <c r="D72" s="263">
        <v>36.64</v>
      </c>
      <c r="E72" s="384" t="str">
        <f>"7/26"</f>
        <v>7/26</v>
      </c>
      <c r="F72" s="385" t="s">
        <v>717</v>
      </c>
      <c r="G72" s="211" t="str">
        <f>IFERROR(VLOOKUP(F72,[1]Реестр!A:K,2,0),"")</f>
        <v/>
      </c>
      <c r="H72" s="210">
        <v>30</v>
      </c>
      <c r="I72" s="230">
        <v>19.260000000000002</v>
      </c>
      <c r="J72" s="215"/>
    </row>
    <row r="73" spans="1:12" s="202" customFormat="1" ht="18.75" x14ac:dyDescent="0.3">
      <c r="A73" s="348">
        <v>19.440000000000001</v>
      </c>
      <c r="B73" s="348">
        <v>19.420000000000002</v>
      </c>
      <c r="C73" s="348">
        <v>57.63</v>
      </c>
      <c r="D73" s="348">
        <v>436.2</v>
      </c>
      <c r="E73" s="242" t="s">
        <v>712</v>
      </c>
      <c r="F73" s="242" t="s">
        <v>713</v>
      </c>
      <c r="G73" s="211" t="str">
        <f>IFERROR(VLOOKUP(F73,[2]Реестр!A:K,2,0),"")</f>
        <v/>
      </c>
      <c r="H73" s="206">
        <v>250</v>
      </c>
      <c r="I73" s="206">
        <v>130.94</v>
      </c>
      <c r="J73" s="215"/>
    </row>
    <row r="74" spans="1:12" s="202" customFormat="1" ht="18.75" x14ac:dyDescent="0.3">
      <c r="A74" s="263">
        <v>0.18</v>
      </c>
      <c r="B74" s="263">
        <v>0.05</v>
      </c>
      <c r="C74" s="263">
        <v>0.32</v>
      </c>
      <c r="D74" s="263">
        <v>37.582527999999996</v>
      </c>
      <c r="E74" s="242" t="s">
        <v>714</v>
      </c>
      <c r="F74" s="386" t="s">
        <v>328</v>
      </c>
      <c r="G74" s="211">
        <f>IFERROR(VLOOKUP(F74,[2]Реестр!A:K,2,0),"")</f>
        <v>200</v>
      </c>
      <c r="H74" s="206">
        <v>200</v>
      </c>
      <c r="I74" s="207">
        <v>19.54</v>
      </c>
      <c r="J74" s="215"/>
    </row>
    <row r="75" spans="1:12" s="202" customFormat="1" ht="18.75" x14ac:dyDescent="0.3">
      <c r="A75" s="264">
        <v>3.3</v>
      </c>
      <c r="B75" s="264">
        <v>0.3</v>
      </c>
      <c r="C75" s="264">
        <v>23.4</v>
      </c>
      <c r="D75" s="264">
        <v>112</v>
      </c>
      <c r="E75" s="242" t="str">
        <f>"-"</f>
        <v>-</v>
      </c>
      <c r="F75" s="387" t="s">
        <v>715</v>
      </c>
      <c r="G75" s="211" t="str">
        <f>IFERROR(VLOOKUP(F75,[2]Реестр!A:K,2,0),"")</f>
        <v/>
      </c>
      <c r="H75" s="206">
        <v>50</v>
      </c>
      <c r="I75" s="207">
        <v>4.5</v>
      </c>
      <c r="J75" s="215"/>
    </row>
    <row r="76" spans="1:12" s="202" customFormat="1" ht="18.75" x14ac:dyDescent="0.3">
      <c r="A76" s="264">
        <v>2</v>
      </c>
      <c r="B76" s="264">
        <v>0.4</v>
      </c>
      <c r="C76" s="264">
        <v>10</v>
      </c>
      <c r="D76" s="264">
        <v>58</v>
      </c>
      <c r="E76" s="381" t="str">
        <f>"-"</f>
        <v>-</v>
      </c>
      <c r="F76" s="381" t="s">
        <v>707</v>
      </c>
      <c r="G76" s="211" t="str">
        <f>IFERROR(VLOOKUP(F76,[2]Реестр!A:K,2,0),"")</f>
        <v/>
      </c>
      <c r="H76" s="206">
        <v>30</v>
      </c>
      <c r="I76" s="207">
        <v>2.7</v>
      </c>
      <c r="J76" s="215"/>
    </row>
    <row r="77" spans="1:12" s="202" customFormat="1" ht="18.75" x14ac:dyDescent="0.3">
      <c r="A77" s="209"/>
      <c r="B77" s="209"/>
      <c r="C77" s="209"/>
      <c r="D77" s="209"/>
      <c r="E77" s="210"/>
      <c r="F77" s="217"/>
      <c r="G77" s="211"/>
      <c r="H77" s="206"/>
      <c r="I77" s="207"/>
      <c r="J77" s="215"/>
    </row>
    <row r="78" spans="1:12" s="202" customFormat="1" ht="18.75" x14ac:dyDescent="0.3">
      <c r="A78" s="453" t="s">
        <v>16</v>
      </c>
      <c r="B78" s="454"/>
      <c r="C78" s="454"/>
      <c r="D78" s="454"/>
      <c r="E78" s="454"/>
      <c r="F78" s="455"/>
      <c r="G78" s="205"/>
      <c r="H78" s="206"/>
      <c r="I78" s="207">
        <f>SUM(I72:I77)</f>
        <v>176.93999999999997</v>
      </c>
      <c r="J78" s="215">
        <v>98.52</v>
      </c>
      <c r="L78" s="208">
        <f>J78-I78</f>
        <v>-78.419999999999973</v>
      </c>
    </row>
    <row r="79" spans="1:12" s="202" customFormat="1" ht="18.75" x14ac:dyDescent="0.25">
      <c r="A79" s="477" t="s">
        <v>35</v>
      </c>
      <c r="B79" s="478"/>
      <c r="C79" s="478"/>
      <c r="D79" s="478"/>
      <c r="E79" s="478"/>
      <c r="F79" s="478"/>
      <c r="G79" s="478"/>
      <c r="H79" s="478"/>
      <c r="I79" s="479"/>
      <c r="J79" s="215"/>
    </row>
    <row r="80" spans="1:12" s="202" customFormat="1" ht="18.75" x14ac:dyDescent="0.3">
      <c r="A80" s="219">
        <v>7.7</v>
      </c>
      <c r="B80" s="219">
        <v>7.42</v>
      </c>
      <c r="C80" s="219">
        <v>32.090000000000003</v>
      </c>
      <c r="D80" s="219">
        <v>225.88</v>
      </c>
      <c r="E80" s="416" t="s">
        <v>408</v>
      </c>
      <c r="F80" s="406" t="s">
        <v>529</v>
      </c>
      <c r="G80" s="211">
        <f>IFERROR(VLOOKUP(F80,[2]Реестр!A:K,2,0),"")</f>
        <v>100</v>
      </c>
      <c r="H80" s="206">
        <v>80</v>
      </c>
      <c r="I80" s="207">
        <v>50</v>
      </c>
      <c r="J80" s="215"/>
      <c r="K80" s="208"/>
    </row>
    <row r="81" spans="1:12" s="202" customFormat="1" ht="18.75" x14ac:dyDescent="0.3">
      <c r="A81" s="453" t="s">
        <v>16</v>
      </c>
      <c r="B81" s="454"/>
      <c r="C81" s="454"/>
      <c r="D81" s="454"/>
      <c r="E81" s="454"/>
      <c r="F81" s="455"/>
      <c r="G81" s="205"/>
      <c r="H81" s="206"/>
      <c r="I81" s="207">
        <f>I80</f>
        <v>50</v>
      </c>
      <c r="J81" s="215">
        <v>29</v>
      </c>
    </row>
    <row r="82" spans="1:12" s="202" customFormat="1" ht="18.75" x14ac:dyDescent="0.3">
      <c r="A82" s="465" t="s">
        <v>36</v>
      </c>
      <c r="B82" s="466"/>
      <c r="C82" s="466"/>
      <c r="D82" s="466"/>
      <c r="E82" s="466"/>
      <c r="F82" s="466"/>
      <c r="G82" s="466"/>
      <c r="H82" s="466"/>
      <c r="I82" s="467"/>
      <c r="J82" s="215"/>
    </row>
    <row r="83" spans="1:12" s="202" customFormat="1" ht="18.75" x14ac:dyDescent="0.3">
      <c r="A83" s="263">
        <v>4.1100000000000003</v>
      </c>
      <c r="B83" s="263">
        <v>4.7699999999999996</v>
      </c>
      <c r="C83" s="263">
        <v>26.5</v>
      </c>
      <c r="D83" s="263">
        <v>213.5</v>
      </c>
      <c r="E83" s="242" t="s">
        <v>711</v>
      </c>
      <c r="F83" s="242" t="s">
        <v>716</v>
      </c>
      <c r="G83" s="211" t="str">
        <f>IFERROR(VLOOKUP(F83,[2]Реестр!A:K,2,0),"")</f>
        <v/>
      </c>
      <c r="H83" s="206">
        <v>250</v>
      </c>
      <c r="I83" s="207">
        <v>50</v>
      </c>
      <c r="J83" s="215"/>
    </row>
    <row r="84" spans="1:12" s="202" customFormat="1" ht="18.75" x14ac:dyDescent="0.3">
      <c r="A84" s="453" t="s">
        <v>16</v>
      </c>
      <c r="B84" s="454"/>
      <c r="C84" s="454"/>
      <c r="D84" s="454"/>
      <c r="E84" s="454"/>
      <c r="F84" s="455"/>
      <c r="G84" s="205"/>
      <c r="H84" s="206"/>
      <c r="I84" s="207">
        <f>SUM(I83:I83)</f>
        <v>50</v>
      </c>
      <c r="J84" s="215">
        <v>27</v>
      </c>
    </row>
    <row r="85" spans="1:12" s="202" customFormat="1" ht="18.75" x14ac:dyDescent="0.3">
      <c r="A85" s="465" t="s">
        <v>503</v>
      </c>
      <c r="B85" s="466"/>
      <c r="C85" s="466"/>
      <c r="D85" s="466"/>
      <c r="E85" s="466"/>
      <c r="F85" s="466"/>
      <c r="G85" s="466"/>
      <c r="H85" s="466"/>
      <c r="I85" s="467"/>
      <c r="J85" s="215"/>
    </row>
    <row r="86" spans="1:12" s="234" customFormat="1" ht="27" customHeight="1" x14ac:dyDescent="0.25">
      <c r="A86" s="383">
        <v>2.2999999999999998</v>
      </c>
      <c r="B86" s="383">
        <v>6.01</v>
      </c>
      <c r="C86" s="383">
        <v>4.01</v>
      </c>
      <c r="D86" s="383">
        <v>72.147796</v>
      </c>
      <c r="E86" s="242" t="s">
        <v>709</v>
      </c>
      <c r="F86" s="242" t="s">
        <v>710</v>
      </c>
      <c r="G86" s="211" t="str">
        <f>IFERROR(VLOOKUP(F86,[2]Реестр!A:K,2,0),"")</f>
        <v/>
      </c>
      <c r="H86" s="210">
        <v>100</v>
      </c>
      <c r="I86" s="230">
        <v>56.17</v>
      </c>
      <c r="J86" s="268"/>
    </row>
    <row r="87" spans="1:12" s="202" customFormat="1" ht="18.75" x14ac:dyDescent="0.3">
      <c r="A87" s="263">
        <v>4.1100000000000003</v>
      </c>
      <c r="B87" s="263">
        <v>4.7699999999999996</v>
      </c>
      <c r="C87" s="263">
        <v>26.5</v>
      </c>
      <c r="D87" s="263">
        <v>213.5</v>
      </c>
      <c r="E87" s="242" t="s">
        <v>711</v>
      </c>
      <c r="F87" s="242" t="s">
        <v>716</v>
      </c>
      <c r="G87" s="211" t="str">
        <f>IFERROR(VLOOKUP(F87,[2]Реестр!A:K,2,0),"")</f>
        <v/>
      </c>
      <c r="H87" s="206">
        <v>250</v>
      </c>
      <c r="I87" s="207">
        <v>50</v>
      </c>
      <c r="J87" s="215"/>
    </row>
    <row r="88" spans="1:12" s="202" customFormat="1" ht="18.75" x14ac:dyDescent="0.3">
      <c r="A88" s="348">
        <v>17.5</v>
      </c>
      <c r="B88" s="348">
        <v>15.6</v>
      </c>
      <c r="C88" s="348">
        <v>42.3</v>
      </c>
      <c r="D88" s="348">
        <v>265.7</v>
      </c>
      <c r="E88" s="242" t="s">
        <v>712</v>
      </c>
      <c r="F88" s="242" t="s">
        <v>713</v>
      </c>
      <c r="G88" s="211" t="str">
        <f>IFERROR(VLOOKUP(F88,[2]Реестр!A:K,2,0),"")</f>
        <v/>
      </c>
      <c r="H88" s="206">
        <v>250</v>
      </c>
      <c r="I88" s="206">
        <v>130.94</v>
      </c>
      <c r="J88" s="215"/>
    </row>
    <row r="89" spans="1:12" s="202" customFormat="1" ht="18.75" x14ac:dyDescent="0.3">
      <c r="A89" s="263">
        <v>3.94</v>
      </c>
      <c r="B89" s="263">
        <v>5.1100000000000003</v>
      </c>
      <c r="C89" s="263">
        <v>27.5</v>
      </c>
      <c r="D89" s="263">
        <v>170.19544859999999</v>
      </c>
      <c r="E89" s="242" t="s">
        <v>714</v>
      </c>
      <c r="F89" s="386" t="s">
        <v>328</v>
      </c>
      <c r="G89" s="211">
        <f>IFERROR(VLOOKUP(F89,[2]Реестр!A:K,2,0),"")</f>
        <v>200</v>
      </c>
      <c r="H89" s="206">
        <v>200</v>
      </c>
      <c r="I89" s="207">
        <v>19.54</v>
      </c>
      <c r="J89" s="215"/>
    </row>
    <row r="90" spans="1:12" s="202" customFormat="1" ht="18.75" x14ac:dyDescent="0.3">
      <c r="A90" s="264">
        <v>0.14000000000000001</v>
      </c>
      <c r="B90" s="264">
        <v>0.1</v>
      </c>
      <c r="C90" s="264">
        <v>1.5</v>
      </c>
      <c r="D90" s="264">
        <v>83.962620000000015</v>
      </c>
      <c r="E90" s="242" t="s">
        <v>471</v>
      </c>
      <c r="F90" s="242" t="s">
        <v>715</v>
      </c>
      <c r="G90" s="211" t="str">
        <f>IFERROR(VLOOKUP(F90,[2]Реестр!A:K,2,0),"")</f>
        <v/>
      </c>
      <c r="H90" s="206">
        <v>50</v>
      </c>
      <c r="I90" s="207">
        <v>4.5</v>
      </c>
      <c r="J90" s="215"/>
    </row>
    <row r="91" spans="1:12" s="202" customFormat="1" ht="18.75" x14ac:dyDescent="0.3">
      <c r="A91" s="264">
        <v>3.3</v>
      </c>
      <c r="B91" s="264">
        <v>0.3</v>
      </c>
      <c r="C91" s="264">
        <v>23.4</v>
      </c>
      <c r="D91" s="264">
        <v>112</v>
      </c>
      <c r="E91" s="381" t="s">
        <v>471</v>
      </c>
      <c r="F91" s="381" t="s">
        <v>707</v>
      </c>
      <c r="G91" s="211" t="str">
        <f>IFERROR(VLOOKUP(F91,[2]Реестр!A:K,2,0),"")</f>
        <v/>
      </c>
      <c r="H91" s="206">
        <v>50</v>
      </c>
      <c r="I91" s="207">
        <v>4.25</v>
      </c>
      <c r="J91" s="215"/>
    </row>
    <row r="92" spans="1:12" s="202" customFormat="1" ht="18.75" x14ac:dyDescent="0.3">
      <c r="A92" s="209"/>
      <c r="B92" s="209"/>
      <c r="C92" s="209"/>
      <c r="D92" s="209"/>
      <c r="E92" s="218"/>
      <c r="F92" s="217"/>
      <c r="G92" s="211"/>
      <c r="H92" s="206"/>
      <c r="I92" s="207"/>
      <c r="J92" s="215"/>
      <c r="K92" s="208"/>
    </row>
    <row r="93" spans="1:12" s="202" customFormat="1" ht="18.75" x14ac:dyDescent="0.3">
      <c r="A93" s="464" t="s">
        <v>16</v>
      </c>
      <c r="B93" s="464"/>
      <c r="C93" s="464"/>
      <c r="D93" s="464"/>
      <c r="E93" s="464"/>
      <c r="F93" s="464"/>
      <c r="G93" s="205"/>
      <c r="H93" s="206"/>
      <c r="I93" s="207">
        <f>SUM(I86:I92)</f>
        <v>265.40000000000003</v>
      </c>
      <c r="J93" s="215">
        <v>147.79</v>
      </c>
      <c r="L93" s="208">
        <f>J93-I93</f>
        <v>-117.61000000000004</v>
      </c>
    </row>
    <row r="94" spans="1:12" s="202" customFormat="1" ht="18.75" x14ac:dyDescent="0.3">
      <c r="A94" s="462" t="s">
        <v>544</v>
      </c>
      <c r="B94" s="462"/>
      <c r="C94" s="462"/>
      <c r="D94" s="462"/>
      <c r="E94" s="462"/>
      <c r="F94" s="462"/>
      <c r="G94" s="462"/>
      <c r="H94" s="462"/>
      <c r="I94" s="462"/>
      <c r="J94" s="215"/>
      <c r="K94" s="208"/>
    </row>
    <row r="95" spans="1:12" s="202" customFormat="1" ht="18.75" x14ac:dyDescent="0.25">
      <c r="A95" s="243">
        <v>3.76</v>
      </c>
      <c r="B95" s="243">
        <v>3.05</v>
      </c>
      <c r="C95" s="243">
        <v>13.8</v>
      </c>
      <c r="D95" s="243">
        <v>93.762559999999993</v>
      </c>
      <c r="E95" s="242" t="s">
        <v>732</v>
      </c>
      <c r="F95" s="387" t="s">
        <v>706</v>
      </c>
      <c r="G95" s="211" t="str">
        <f>IFERROR(VLOOKUP(F95,[1]Реестр!A:K,2,0),"")</f>
        <v/>
      </c>
      <c r="H95" s="243" t="s">
        <v>87</v>
      </c>
      <c r="I95" s="450">
        <v>149.52000000000001</v>
      </c>
      <c r="J95" s="215"/>
      <c r="K95" s="208"/>
    </row>
    <row r="96" spans="1:12" s="202" customFormat="1" ht="33.75" customHeight="1" x14ac:dyDescent="0.25">
      <c r="A96" s="243">
        <v>13.79</v>
      </c>
      <c r="B96" s="243">
        <v>20.23</v>
      </c>
      <c r="C96" s="243">
        <v>3.57</v>
      </c>
      <c r="D96" s="243">
        <v>251.02964924999998</v>
      </c>
      <c r="E96" s="242" t="s">
        <v>733</v>
      </c>
      <c r="F96" s="387" t="s">
        <v>705</v>
      </c>
      <c r="G96" s="211" t="str">
        <f>IFERROR(VLOOKUP(F96,[1]Реестр!A:K,2,0),"")</f>
        <v/>
      </c>
      <c r="H96" s="243" t="s">
        <v>147</v>
      </c>
      <c r="I96" s="451"/>
      <c r="J96" s="215"/>
      <c r="K96" s="208"/>
    </row>
    <row r="97" spans="1:12" s="202" customFormat="1" ht="18.75" x14ac:dyDescent="0.25">
      <c r="A97" s="243">
        <v>0.18</v>
      </c>
      <c r="B97" s="243">
        <v>0.04</v>
      </c>
      <c r="C97" s="243">
        <v>13.75</v>
      </c>
      <c r="D97" s="243">
        <v>53.136642799999997</v>
      </c>
      <c r="E97" s="242" t="s">
        <v>734</v>
      </c>
      <c r="F97" s="387" t="s">
        <v>632</v>
      </c>
      <c r="G97" s="211" t="str">
        <f>IFERROR(VLOOKUP(F97,[1]Реестр!A:K,2,0),"")</f>
        <v/>
      </c>
      <c r="H97" s="243" t="s">
        <v>118</v>
      </c>
      <c r="I97" s="451"/>
      <c r="J97" s="215"/>
      <c r="K97" s="208"/>
    </row>
    <row r="98" spans="1:12" s="202" customFormat="1" ht="18.75" x14ac:dyDescent="0.25">
      <c r="A98" s="241">
        <v>1.32</v>
      </c>
      <c r="B98" s="241">
        <v>0.24</v>
      </c>
      <c r="C98" s="241">
        <v>8.34</v>
      </c>
      <c r="D98" s="241">
        <v>38.676000000000002</v>
      </c>
      <c r="E98" s="381" t="str">
        <f>"-"</f>
        <v>-</v>
      </c>
      <c r="F98" s="381" t="s">
        <v>707</v>
      </c>
      <c r="G98" s="211" t="str">
        <f>IFERROR(VLOOKUP(F98,[1]Реестр!A:K,2,0),"")</f>
        <v/>
      </c>
      <c r="H98" s="264" t="str">
        <f>"20"</f>
        <v>20</v>
      </c>
      <c r="I98" s="451"/>
      <c r="J98" s="215"/>
      <c r="K98" s="208"/>
    </row>
    <row r="99" spans="1:12" s="202" customFormat="1" ht="18.75" x14ac:dyDescent="0.25">
      <c r="A99" s="241">
        <v>1.32</v>
      </c>
      <c r="B99" s="241">
        <v>0.24</v>
      </c>
      <c r="C99" s="241">
        <v>0</v>
      </c>
      <c r="D99" s="241">
        <v>38.676000000000002</v>
      </c>
      <c r="E99" s="381" t="s">
        <v>471</v>
      </c>
      <c r="F99" s="381" t="s">
        <v>708</v>
      </c>
      <c r="G99" s="211" t="str">
        <f>IFERROR(VLOOKUP(F99,[1]Реестр!A:K,2,0),"")</f>
        <v/>
      </c>
      <c r="H99" s="264" t="s">
        <v>735</v>
      </c>
      <c r="I99" s="452"/>
      <c r="J99" s="215"/>
      <c r="K99" s="208"/>
    </row>
    <row r="100" spans="1:12" s="202" customFormat="1" ht="18.75" x14ac:dyDescent="0.3">
      <c r="A100" s="464" t="s">
        <v>16</v>
      </c>
      <c r="B100" s="464"/>
      <c r="C100" s="464"/>
      <c r="D100" s="464"/>
      <c r="E100" s="464"/>
      <c r="F100" s="464"/>
      <c r="G100" s="205"/>
      <c r="H100" s="206"/>
      <c r="I100" s="207">
        <f>SUM(I95:I99)</f>
        <v>149.52000000000001</v>
      </c>
      <c r="J100" s="215"/>
      <c r="K100" s="208"/>
    </row>
    <row r="101" spans="1:12" s="202" customFormat="1" ht="18.75" x14ac:dyDescent="0.3">
      <c r="A101" s="462" t="s">
        <v>545</v>
      </c>
      <c r="B101" s="462"/>
      <c r="C101" s="462"/>
      <c r="D101" s="462"/>
      <c r="E101" s="462"/>
      <c r="F101" s="462"/>
      <c r="G101" s="462"/>
      <c r="H101" s="462"/>
      <c r="I101" s="462"/>
      <c r="J101" s="215">
        <v>85.2</v>
      </c>
      <c r="K101" s="208"/>
      <c r="L101" s="208">
        <f>J101-I101</f>
        <v>85.2</v>
      </c>
    </row>
    <row r="102" spans="1:12" s="202" customFormat="1" ht="30" x14ac:dyDescent="0.25">
      <c r="A102" s="243">
        <v>17.96</v>
      </c>
      <c r="B102" s="243">
        <v>19.649999999999999</v>
      </c>
      <c r="C102" s="243">
        <v>1.04</v>
      </c>
      <c r="D102" s="243">
        <v>252.59813800000001</v>
      </c>
      <c r="E102" s="242" t="s">
        <v>740</v>
      </c>
      <c r="F102" s="242" t="s">
        <v>741</v>
      </c>
      <c r="G102" s="211" t="str">
        <f>IFERROR(VLOOKUP(F102,[1]Реестр!A:K,2,0),"")</f>
        <v>200</v>
      </c>
      <c r="H102" s="391">
        <v>150</v>
      </c>
      <c r="I102" s="450">
        <v>149.52000000000001</v>
      </c>
      <c r="J102" s="215"/>
      <c r="K102" s="208"/>
    </row>
    <row r="103" spans="1:12" s="202" customFormat="1" ht="18.75" customHeight="1" x14ac:dyDescent="0.25">
      <c r="A103" s="243">
        <v>0.18</v>
      </c>
      <c r="B103" s="243">
        <v>0.04</v>
      </c>
      <c r="C103" s="243">
        <v>13.75</v>
      </c>
      <c r="D103" s="243">
        <v>53.136642799999997</v>
      </c>
      <c r="E103" s="242" t="s">
        <v>742</v>
      </c>
      <c r="F103" s="242" t="s">
        <v>499</v>
      </c>
      <c r="G103" s="211" t="str">
        <f>IFERROR(VLOOKUP(F103,[1]Реестр!A:K,2,0),"")</f>
        <v>200</v>
      </c>
      <c r="H103" s="243" t="s">
        <v>118</v>
      </c>
      <c r="I103" s="451"/>
      <c r="J103" s="215"/>
      <c r="K103" s="208"/>
    </row>
    <row r="104" spans="1:12" s="202" customFormat="1" ht="18.75" x14ac:dyDescent="0.25">
      <c r="A104" s="241">
        <v>0.52</v>
      </c>
      <c r="B104" s="241">
        <v>0.52</v>
      </c>
      <c r="C104" s="241">
        <v>15.08</v>
      </c>
      <c r="D104" s="241">
        <v>63.283999999999985</v>
      </c>
      <c r="E104" s="242" t="s">
        <v>471</v>
      </c>
      <c r="F104" s="242" t="s">
        <v>708</v>
      </c>
      <c r="G104" s="211" t="str">
        <f>IFERROR(VLOOKUP(F104,[1]Реестр!A:K,2,0),"")</f>
        <v/>
      </c>
      <c r="H104" s="264" t="s">
        <v>735</v>
      </c>
      <c r="I104" s="451"/>
      <c r="J104" s="215"/>
      <c r="K104" s="208"/>
    </row>
    <row r="105" spans="1:12" s="202" customFormat="1" ht="18.75" x14ac:dyDescent="0.25">
      <c r="A105" s="241">
        <v>2.64</v>
      </c>
      <c r="B105" s="241">
        <v>0.48</v>
      </c>
      <c r="C105" s="241">
        <v>16.68</v>
      </c>
      <c r="D105" s="241">
        <v>77.352000000000004</v>
      </c>
      <c r="E105" s="242" t="s">
        <v>471</v>
      </c>
      <c r="F105" s="242" t="s">
        <v>715</v>
      </c>
      <c r="G105" s="211" t="str">
        <f>IFERROR(VLOOKUP(F105,[1]Реестр!A:K,2,0),"")</f>
        <v/>
      </c>
      <c r="H105" s="392">
        <v>40</v>
      </c>
      <c r="I105" s="451"/>
      <c r="J105" s="215"/>
      <c r="K105" s="208"/>
    </row>
    <row r="106" spans="1:12" s="202" customFormat="1" ht="18.75" x14ac:dyDescent="0.25">
      <c r="A106" s="241">
        <v>1.32</v>
      </c>
      <c r="B106" s="241">
        <v>0.24</v>
      </c>
      <c r="C106" s="241">
        <v>8.34</v>
      </c>
      <c r="D106" s="241">
        <v>38.676000000000002</v>
      </c>
      <c r="E106" s="381" t="str">
        <f>"-"</f>
        <v>-</v>
      </c>
      <c r="F106" s="381" t="s">
        <v>707</v>
      </c>
      <c r="G106" s="211" t="str">
        <f>IFERROR(VLOOKUP(F106,[1]Реестр!A:K,2,0),"")</f>
        <v/>
      </c>
      <c r="H106" s="264" t="str">
        <f>"20"</f>
        <v>20</v>
      </c>
      <c r="I106" s="451"/>
      <c r="J106" s="215"/>
      <c r="K106" s="208"/>
    </row>
    <row r="107" spans="1:12" s="202" customFormat="1" ht="18.75" x14ac:dyDescent="0.3">
      <c r="A107" s="209"/>
      <c r="B107" s="209"/>
      <c r="C107" s="209"/>
      <c r="D107" s="209"/>
      <c r="E107" s="210"/>
      <c r="F107" s="217"/>
      <c r="G107" s="211"/>
      <c r="H107" s="206"/>
      <c r="I107" s="452"/>
      <c r="J107" s="215"/>
      <c r="K107" s="208"/>
    </row>
    <row r="108" spans="1:12" s="202" customFormat="1" ht="18.75" x14ac:dyDescent="0.3">
      <c r="A108" s="464" t="s">
        <v>16</v>
      </c>
      <c r="B108" s="464"/>
      <c r="C108" s="464"/>
      <c r="D108" s="464"/>
      <c r="E108" s="464"/>
      <c r="F108" s="464"/>
      <c r="G108" s="205"/>
      <c r="H108" s="206"/>
      <c r="I108" s="207">
        <f>SUM(I102)</f>
        <v>149.52000000000001</v>
      </c>
      <c r="J108" s="215"/>
      <c r="K108" s="208"/>
    </row>
    <row r="109" spans="1:12" s="202" customFormat="1" ht="18.75" x14ac:dyDescent="0.3">
      <c r="A109" s="462" t="s">
        <v>566</v>
      </c>
      <c r="B109" s="462"/>
      <c r="C109" s="462"/>
      <c r="D109" s="462"/>
      <c r="E109" s="462"/>
      <c r="F109" s="462"/>
      <c r="G109" s="462"/>
      <c r="H109" s="462"/>
      <c r="I109" s="462"/>
      <c r="J109" s="215"/>
      <c r="K109" s="208"/>
    </row>
    <row r="110" spans="1:12" s="202" customFormat="1" ht="30" x14ac:dyDescent="0.25">
      <c r="A110" s="417">
        <v>0.7</v>
      </c>
      <c r="B110" s="243">
        <v>4.8099999999999996</v>
      </c>
      <c r="C110" s="243">
        <v>1.6</v>
      </c>
      <c r="D110" s="243">
        <v>57.718236800000007</v>
      </c>
      <c r="E110" s="242" t="str">
        <f>"7/13/1"</f>
        <v>7/13/1</v>
      </c>
      <c r="F110" s="242" t="s">
        <v>736</v>
      </c>
      <c r="G110" s="211" t="str">
        <f>IFERROR(VLOOKUP(F110,[2]Реестр!A:K,2,0),"")</f>
        <v/>
      </c>
      <c r="H110" s="263" t="s">
        <v>81</v>
      </c>
      <c r="I110" s="450">
        <v>224.27</v>
      </c>
      <c r="J110" s="215"/>
      <c r="K110" s="208"/>
    </row>
    <row r="111" spans="1:12" s="202" customFormat="1" ht="18.75" x14ac:dyDescent="0.25">
      <c r="A111" s="263">
        <v>4.1100000000000003</v>
      </c>
      <c r="B111" s="263">
        <v>4.7699999999999996</v>
      </c>
      <c r="C111" s="263">
        <v>39.56</v>
      </c>
      <c r="D111" s="263">
        <v>235.36</v>
      </c>
      <c r="E111" s="242" t="s">
        <v>711</v>
      </c>
      <c r="F111" s="242" t="s">
        <v>737</v>
      </c>
      <c r="G111" s="211" t="str">
        <f>IFERROR(VLOOKUP(F111,[2]Реестр!A:K,2,0),"")</f>
        <v/>
      </c>
      <c r="H111" s="243" t="str">
        <f>"250"</f>
        <v>250</v>
      </c>
      <c r="I111" s="451"/>
      <c r="J111" s="215"/>
      <c r="K111" s="208"/>
    </row>
    <row r="112" spans="1:12" s="202" customFormat="1" ht="18.75" x14ac:dyDescent="0.25">
      <c r="A112" s="263">
        <v>15.55</v>
      </c>
      <c r="B112" s="263">
        <v>15.9</v>
      </c>
      <c r="C112" s="263">
        <v>90.5</v>
      </c>
      <c r="D112" s="263">
        <v>408.6</v>
      </c>
      <c r="E112" s="242" t="s">
        <v>712</v>
      </c>
      <c r="F112" s="242" t="s">
        <v>713</v>
      </c>
      <c r="G112" s="211"/>
      <c r="H112" s="266">
        <v>200</v>
      </c>
      <c r="I112" s="451"/>
      <c r="J112" s="215"/>
      <c r="K112" s="208"/>
    </row>
    <row r="113" spans="1:11" s="202" customFormat="1" ht="18.75" x14ac:dyDescent="0.25">
      <c r="A113" s="263">
        <v>0.18</v>
      </c>
      <c r="B113" s="263">
        <v>0.05</v>
      </c>
      <c r="C113" s="263">
        <v>9.6300000000000008</v>
      </c>
      <c r="D113" s="263">
        <v>37.582527999999996</v>
      </c>
      <c r="E113" s="242" t="s">
        <v>738</v>
      </c>
      <c r="F113" s="242" t="s">
        <v>739</v>
      </c>
      <c r="G113" s="211"/>
      <c r="H113" s="263" t="s">
        <v>118</v>
      </c>
      <c r="I113" s="451"/>
      <c r="J113" s="215"/>
      <c r="K113" s="208"/>
    </row>
    <row r="114" spans="1:11" s="202" customFormat="1" ht="18.75" customHeight="1" x14ac:dyDescent="0.25">
      <c r="A114" s="241">
        <v>3.3</v>
      </c>
      <c r="B114" s="241">
        <v>0.6</v>
      </c>
      <c r="C114" s="241">
        <v>20.85</v>
      </c>
      <c r="D114" s="241">
        <v>96.69</v>
      </c>
      <c r="E114" s="242" t="str">
        <f>"-"</f>
        <v>-</v>
      </c>
      <c r="F114" s="242" t="s">
        <v>715</v>
      </c>
      <c r="G114" s="211"/>
      <c r="H114" s="264" t="str">
        <f>"40"</f>
        <v>40</v>
      </c>
      <c r="I114" s="451"/>
      <c r="J114" s="215"/>
      <c r="K114" s="208"/>
    </row>
    <row r="115" spans="1:11" s="202" customFormat="1" ht="18.75" x14ac:dyDescent="0.25">
      <c r="A115" s="264">
        <v>2.64</v>
      </c>
      <c r="B115" s="264">
        <v>0.48</v>
      </c>
      <c r="C115" s="264">
        <v>16.68</v>
      </c>
      <c r="D115" s="264">
        <v>77.352000000000004</v>
      </c>
      <c r="E115" s="381" t="str">
        <f>"-"</f>
        <v>-</v>
      </c>
      <c r="F115" s="381" t="s">
        <v>707</v>
      </c>
      <c r="G115" s="211" t="str">
        <f>IFERROR(VLOOKUP(F115,[2]Реестр!A:K,2,0),"")</f>
        <v/>
      </c>
      <c r="H115" s="264" t="str">
        <f>"40"</f>
        <v>40</v>
      </c>
      <c r="I115" s="451"/>
      <c r="J115" s="215"/>
      <c r="K115" s="208"/>
    </row>
    <row r="116" spans="1:11" s="202" customFormat="1" ht="18.75" x14ac:dyDescent="0.25">
      <c r="A116" s="241"/>
      <c r="B116" s="241"/>
      <c r="C116" s="241"/>
      <c r="D116" s="241"/>
      <c r="E116" s="265"/>
      <c r="F116" s="217"/>
      <c r="G116" s="211"/>
      <c r="H116" s="269"/>
      <c r="I116" s="451"/>
      <c r="J116" s="215"/>
      <c r="K116" s="208"/>
    </row>
    <row r="117" spans="1:11" s="202" customFormat="1" ht="18.75" x14ac:dyDescent="0.3">
      <c r="A117" s="464" t="s">
        <v>16</v>
      </c>
      <c r="B117" s="464"/>
      <c r="C117" s="464"/>
      <c r="D117" s="464"/>
      <c r="E117" s="464"/>
      <c r="F117" s="464"/>
      <c r="G117" s="205"/>
      <c r="H117" s="206"/>
      <c r="I117" s="207">
        <f>SUM(I110:I116)</f>
        <v>224.27</v>
      </c>
      <c r="J117" s="215"/>
      <c r="K117" s="208"/>
    </row>
    <row r="118" spans="1:11" s="202" customFormat="1" ht="18.75" x14ac:dyDescent="0.3">
      <c r="A118" s="462" t="s">
        <v>550</v>
      </c>
      <c r="B118" s="462"/>
      <c r="C118" s="462"/>
      <c r="D118" s="462"/>
      <c r="E118" s="462"/>
      <c r="F118" s="462"/>
      <c r="G118" s="462"/>
      <c r="H118" s="462"/>
      <c r="I118" s="462"/>
      <c r="J118" s="215"/>
      <c r="K118" s="208"/>
    </row>
    <row r="119" spans="1:11" s="202" customFormat="1" ht="30" x14ac:dyDescent="0.25">
      <c r="A119" s="417">
        <v>1.33</v>
      </c>
      <c r="B119" s="243">
        <v>5.12</v>
      </c>
      <c r="C119" s="243">
        <v>7.75</v>
      </c>
      <c r="D119" s="243">
        <v>73.52</v>
      </c>
      <c r="E119" s="242" t="s">
        <v>709</v>
      </c>
      <c r="F119" s="242" t="s">
        <v>710</v>
      </c>
      <c r="G119" s="211" t="str">
        <f>IFERROR(VLOOKUP(F119,[2]Реестр!A:K,2,0),"")</f>
        <v/>
      </c>
      <c r="H119" s="210">
        <v>80</v>
      </c>
      <c r="I119" s="450">
        <v>224.27</v>
      </c>
      <c r="J119" s="215"/>
      <c r="K119" s="208"/>
    </row>
    <row r="120" spans="1:11" s="202" customFormat="1" ht="18.75" x14ac:dyDescent="0.3">
      <c r="A120" s="263">
        <v>4.1100000000000003</v>
      </c>
      <c r="B120" s="263">
        <v>4.7699999999999996</v>
      </c>
      <c r="C120" s="263">
        <v>59.23</v>
      </c>
      <c r="D120" s="263">
        <v>143.13</v>
      </c>
      <c r="E120" s="242" t="str">
        <f>"6/65-1"</f>
        <v>6/65-1</v>
      </c>
      <c r="F120" s="242" t="s">
        <v>731</v>
      </c>
      <c r="G120" s="211" t="str">
        <f>IFERROR(VLOOKUP(F120,[2]Реестр!A:K,2,0),"")</f>
        <v/>
      </c>
      <c r="H120" s="206">
        <v>250</v>
      </c>
      <c r="I120" s="451"/>
      <c r="J120" s="215"/>
      <c r="K120" s="208"/>
    </row>
    <row r="121" spans="1:11" s="202" customFormat="1" ht="18.75" x14ac:dyDescent="0.3">
      <c r="A121" s="263">
        <v>15.55</v>
      </c>
      <c r="B121" s="263">
        <v>15.9</v>
      </c>
      <c r="C121" s="263">
        <v>90.5</v>
      </c>
      <c r="D121" s="263">
        <v>408.6</v>
      </c>
      <c r="E121" s="242" t="s">
        <v>712</v>
      </c>
      <c r="F121" s="242" t="s">
        <v>713</v>
      </c>
      <c r="G121" s="391">
        <v>200</v>
      </c>
      <c r="H121" s="206">
        <v>200</v>
      </c>
      <c r="I121" s="451"/>
      <c r="J121" s="215"/>
      <c r="K121" s="208"/>
    </row>
    <row r="122" spans="1:11" s="202" customFormat="1" ht="18.75" x14ac:dyDescent="0.3">
      <c r="A122" s="263">
        <v>0.18</v>
      </c>
      <c r="B122" s="263">
        <v>0.05</v>
      </c>
      <c r="C122" s="263">
        <v>0.32</v>
      </c>
      <c r="D122" s="263">
        <v>37.582527999999996</v>
      </c>
      <c r="E122" s="242" t="s">
        <v>714</v>
      </c>
      <c r="F122" s="242" t="s">
        <v>328</v>
      </c>
      <c r="G122" s="263" t="s">
        <v>118</v>
      </c>
      <c r="H122" s="206">
        <v>200</v>
      </c>
      <c r="I122" s="451"/>
      <c r="J122" s="215"/>
      <c r="K122" s="208"/>
    </row>
    <row r="123" spans="1:11" s="202" customFormat="1" ht="18.75" x14ac:dyDescent="0.3">
      <c r="A123" s="264">
        <v>2.64</v>
      </c>
      <c r="B123" s="264">
        <v>0.48</v>
      </c>
      <c r="C123" s="264">
        <v>16.68</v>
      </c>
      <c r="D123" s="264">
        <v>77.352000000000004</v>
      </c>
      <c r="E123" s="242" t="str">
        <f>"-"</f>
        <v>-</v>
      </c>
      <c r="F123" s="242" t="s">
        <v>715</v>
      </c>
      <c r="G123" s="392">
        <v>50</v>
      </c>
      <c r="H123" s="206">
        <v>40</v>
      </c>
      <c r="I123" s="451"/>
      <c r="J123" s="215"/>
      <c r="K123" s="208"/>
    </row>
    <row r="124" spans="1:11" s="202" customFormat="1" ht="18.75" x14ac:dyDescent="0.3">
      <c r="A124" s="264">
        <v>2.64</v>
      </c>
      <c r="B124" s="264">
        <v>0.48</v>
      </c>
      <c r="C124" s="264">
        <v>16.68</v>
      </c>
      <c r="D124" s="264">
        <v>77.352000000000004</v>
      </c>
      <c r="E124" s="381" t="str">
        <f>"-"</f>
        <v>-</v>
      </c>
      <c r="F124" s="381" t="s">
        <v>707</v>
      </c>
      <c r="G124" s="392">
        <v>30</v>
      </c>
      <c r="H124" s="206">
        <v>40</v>
      </c>
      <c r="I124" s="451"/>
      <c r="J124" s="215"/>
      <c r="K124" s="208"/>
    </row>
    <row r="125" spans="1:11" s="202" customFormat="1" ht="18.75" x14ac:dyDescent="0.25">
      <c r="A125" s="264"/>
      <c r="B125" s="264"/>
      <c r="C125" s="264"/>
      <c r="D125" s="264"/>
      <c r="E125" s="265"/>
      <c r="F125" s="217"/>
      <c r="G125" s="211"/>
      <c r="H125" s="264"/>
      <c r="I125" s="451"/>
      <c r="J125" s="215"/>
      <c r="K125" s="208"/>
    </row>
    <row r="126" spans="1:11" s="202" customFormat="1" ht="18.75" x14ac:dyDescent="0.3">
      <c r="A126" s="464" t="s">
        <v>16</v>
      </c>
      <c r="B126" s="464"/>
      <c r="C126" s="464"/>
      <c r="D126" s="464"/>
      <c r="E126" s="464"/>
      <c r="F126" s="464"/>
      <c r="G126" s="205"/>
      <c r="H126" s="206"/>
      <c r="I126" s="207">
        <f>SUM(I119)</f>
        <v>224.27</v>
      </c>
      <c r="J126" s="215"/>
      <c r="K126" s="208"/>
    </row>
    <row r="127" spans="1:11" s="202" customFormat="1" ht="18.75" x14ac:dyDescent="0.3">
      <c r="A127" s="462" t="s">
        <v>589</v>
      </c>
      <c r="B127" s="462"/>
      <c r="C127" s="462"/>
      <c r="D127" s="462"/>
      <c r="E127" s="462"/>
      <c r="F127" s="462"/>
      <c r="G127" s="462"/>
      <c r="H127" s="462"/>
      <c r="I127" s="462"/>
      <c r="J127" s="215"/>
      <c r="K127" s="208"/>
    </row>
    <row r="128" spans="1:11" s="202" customFormat="1" ht="18.75" x14ac:dyDescent="0.3">
      <c r="A128" s="263">
        <v>4.1100000000000003</v>
      </c>
      <c r="B128" s="263">
        <v>4.7699999999999996</v>
      </c>
      <c r="C128" s="263">
        <v>26.5</v>
      </c>
      <c r="D128" s="263">
        <v>213.5</v>
      </c>
      <c r="E128" s="242" t="s">
        <v>711</v>
      </c>
      <c r="F128" s="242" t="s">
        <v>716</v>
      </c>
      <c r="G128" s="199" t="str">
        <f>IFERROR(VLOOKUP(F128,[2]Реестр!A:K,2,0),"")</f>
        <v/>
      </c>
      <c r="H128" s="200">
        <v>250</v>
      </c>
      <c r="I128" s="203">
        <v>50</v>
      </c>
      <c r="J128" s="215"/>
      <c r="K128" s="208"/>
    </row>
    <row r="129" spans="1:11" s="202" customFormat="1" ht="18.75" x14ac:dyDescent="0.3">
      <c r="A129" s="263">
        <v>3.94</v>
      </c>
      <c r="B129" s="263">
        <v>5.1100000000000003</v>
      </c>
      <c r="C129" s="263">
        <v>27.5</v>
      </c>
      <c r="D129" s="263">
        <v>170.19544859999999</v>
      </c>
      <c r="E129" s="242" t="s">
        <v>714</v>
      </c>
      <c r="F129" s="386" t="s">
        <v>328</v>
      </c>
      <c r="G129" s="211">
        <f>IFERROR(VLOOKUP(F129,[2]Реестр!A:K,2,0),"")</f>
        <v>200</v>
      </c>
      <c r="H129" s="206">
        <v>200</v>
      </c>
      <c r="I129" s="207">
        <v>19.54</v>
      </c>
      <c r="J129" s="215"/>
      <c r="K129" s="208"/>
    </row>
    <row r="130" spans="1:11" s="202" customFormat="1" ht="18.75" x14ac:dyDescent="0.3">
      <c r="A130" s="209">
        <f>IFERROR(VLOOKUP(F130,[1]Реестр!A:K,3,0)*H130/G130,"")</f>
        <v>3.3</v>
      </c>
      <c r="B130" s="209">
        <f>IFERROR(VLOOKUP(F130,[1]Реестр!A:K,4,0)*H130/G130,"")</f>
        <v>0.3</v>
      </c>
      <c r="C130" s="209">
        <f>IFERROR(VLOOKUP(F130,[1]Реестр!A:K,5,0)*H130/G130,"")</f>
        <v>23.4</v>
      </c>
      <c r="D130" s="209">
        <f>IFERROR(VLOOKUP(F130,[1]Реестр!A:K,6,0)*H130/G130,"")</f>
        <v>112</v>
      </c>
      <c r="E130" s="405" t="str">
        <f>IFERROR(VLOOKUP(F130,[1]Реестр!A:K,11,0),"")</f>
        <v>-</v>
      </c>
      <c r="F130" s="408" t="s">
        <v>66</v>
      </c>
      <c r="G130" s="211" t="str">
        <f>IFERROR(VLOOKUP(F130,[1]Реестр!A:K,2,0),"")</f>
        <v>100</v>
      </c>
      <c r="H130" s="206">
        <v>50</v>
      </c>
      <c r="I130" s="207">
        <v>4.5</v>
      </c>
      <c r="J130" s="215"/>
      <c r="K130" s="208"/>
    </row>
    <row r="131" spans="1:11" s="202" customFormat="1" ht="18.75" x14ac:dyDescent="0.3">
      <c r="A131" s="209">
        <f>IFERROR(VLOOKUP(F131,[1]Реестр!A:K,3,0)*H131/G131,"")</f>
        <v>1.98</v>
      </c>
      <c r="B131" s="209">
        <f>IFERROR(VLOOKUP(F131,[1]Реестр!A:K,4,0)*H131/G131,"")</f>
        <v>0.36</v>
      </c>
      <c r="C131" s="209">
        <f>IFERROR(VLOOKUP(F131,[1]Реестр!A:K,5,0)*H131/G131,"")</f>
        <v>10.02</v>
      </c>
      <c r="D131" s="209">
        <f>IFERROR(VLOOKUP(F131,[1]Реестр!A:K,6,0)*H131/G131,"")</f>
        <v>57.9</v>
      </c>
      <c r="E131" s="405" t="str">
        <f>IFERROR(VLOOKUP(F131,[1]Реестр!A:K,11,0),"")</f>
        <v>-</v>
      </c>
      <c r="F131" s="408" t="s">
        <v>65</v>
      </c>
      <c r="G131" s="211" t="str">
        <f>IFERROR(VLOOKUP(F131,[1]Реестр!A:K,2,0),"")</f>
        <v>100</v>
      </c>
      <c r="H131" s="206">
        <v>30</v>
      </c>
      <c r="I131" s="207">
        <v>2.7</v>
      </c>
      <c r="J131" s="215"/>
      <c r="K131" s="208"/>
    </row>
    <row r="132" spans="1:11" s="202" customFormat="1" ht="18.75" x14ac:dyDescent="0.3">
      <c r="A132" s="464" t="s">
        <v>16</v>
      </c>
      <c r="B132" s="464"/>
      <c r="C132" s="464"/>
      <c r="D132" s="464"/>
      <c r="E132" s="464"/>
      <c r="F132" s="464"/>
      <c r="G132" s="205"/>
      <c r="H132" s="206"/>
      <c r="I132" s="207">
        <f>SUM(I128:I131)</f>
        <v>76.739999999999995</v>
      </c>
      <c r="J132" s="215">
        <v>80</v>
      </c>
      <c r="K132" s="208"/>
    </row>
    <row r="133" spans="1:11" s="202" customFormat="1" ht="18.75" x14ac:dyDescent="0.3">
      <c r="A133" s="462" t="s">
        <v>590</v>
      </c>
      <c r="B133" s="462"/>
      <c r="C133" s="462"/>
      <c r="D133" s="462"/>
      <c r="E133" s="462"/>
      <c r="F133" s="462"/>
      <c r="G133" s="462"/>
      <c r="H133" s="462"/>
      <c r="I133" s="462"/>
      <c r="J133" s="215"/>
      <c r="K133" s="208"/>
    </row>
    <row r="134" spans="1:11" s="202" customFormat="1" ht="18.75" x14ac:dyDescent="0.3">
      <c r="A134" s="219">
        <v>7.7</v>
      </c>
      <c r="B134" s="219">
        <v>7.42</v>
      </c>
      <c r="C134" s="219">
        <v>32.090000000000003</v>
      </c>
      <c r="D134" s="219">
        <v>225.88</v>
      </c>
      <c r="E134" s="416" t="s">
        <v>408</v>
      </c>
      <c r="F134" s="406" t="s">
        <v>529</v>
      </c>
      <c r="G134" s="211">
        <f>IFERROR(VLOOKUP(F134,[2]Реестр!A:K,2,0),"")</f>
        <v>100</v>
      </c>
      <c r="H134" s="206">
        <v>80</v>
      </c>
      <c r="I134" s="399">
        <v>50</v>
      </c>
      <c r="J134" s="215"/>
      <c r="K134" s="208"/>
    </row>
    <row r="135" spans="1:11" s="202" customFormat="1" ht="18.75" x14ac:dyDescent="0.3">
      <c r="A135" s="263">
        <v>3.94</v>
      </c>
      <c r="B135" s="263">
        <v>5.1100000000000003</v>
      </c>
      <c r="C135" s="263">
        <v>27.5</v>
      </c>
      <c r="D135" s="263">
        <v>170.19544859999999</v>
      </c>
      <c r="E135" s="242" t="s">
        <v>714</v>
      </c>
      <c r="F135" s="386" t="s">
        <v>328</v>
      </c>
      <c r="G135" s="211">
        <f>IFERROR(VLOOKUP(F135,[2]Реестр!A:K,2,0),"")</f>
        <v>200</v>
      </c>
      <c r="H135" s="206">
        <v>200</v>
      </c>
      <c r="I135" s="207">
        <v>19.54</v>
      </c>
      <c r="J135" s="215"/>
      <c r="K135" s="208"/>
    </row>
    <row r="136" spans="1:11" s="202" customFormat="1" ht="18.75" x14ac:dyDescent="0.3">
      <c r="A136" s="464" t="s">
        <v>16</v>
      </c>
      <c r="B136" s="464"/>
      <c r="C136" s="464"/>
      <c r="D136" s="464"/>
      <c r="E136" s="464"/>
      <c r="F136" s="464"/>
      <c r="G136" s="205"/>
      <c r="H136" s="206"/>
      <c r="I136" s="207">
        <f>SUM(I134:I135)</f>
        <v>69.539999999999992</v>
      </c>
      <c r="J136" s="215"/>
      <c r="K136" s="208"/>
    </row>
    <row r="137" spans="1:11" s="202" customFormat="1" ht="18.75" x14ac:dyDescent="0.3">
      <c r="A137" s="462" t="s">
        <v>591</v>
      </c>
      <c r="B137" s="462"/>
      <c r="C137" s="462"/>
      <c r="D137" s="462"/>
      <c r="E137" s="462"/>
      <c r="F137" s="462"/>
      <c r="G137" s="462"/>
      <c r="H137" s="462"/>
      <c r="I137" s="462"/>
      <c r="J137" s="215"/>
      <c r="K137" s="208"/>
    </row>
    <row r="138" spans="1:11" s="202" customFormat="1" ht="30" x14ac:dyDescent="0.25">
      <c r="A138" s="383">
        <v>1.33</v>
      </c>
      <c r="B138" s="383">
        <v>5.12</v>
      </c>
      <c r="C138" s="383">
        <v>4.0999999999999996</v>
      </c>
      <c r="D138" s="383">
        <v>73.52</v>
      </c>
      <c r="E138" s="382" t="s">
        <v>709</v>
      </c>
      <c r="F138" s="242" t="s">
        <v>710</v>
      </c>
      <c r="G138" s="211" t="str">
        <f>IFERROR(VLOOKUP(F138,[2]Реестр!A:K,2,0),"")</f>
        <v/>
      </c>
      <c r="H138" s="210">
        <v>80</v>
      </c>
      <c r="I138" s="230">
        <v>44.94</v>
      </c>
      <c r="J138" s="215"/>
      <c r="K138" s="208"/>
    </row>
    <row r="139" spans="1:11" s="202" customFormat="1" ht="18.75" x14ac:dyDescent="0.3">
      <c r="A139" s="263">
        <v>4.1100000000000003</v>
      </c>
      <c r="B139" s="263">
        <v>4.7699999999999996</v>
      </c>
      <c r="C139" s="263">
        <v>19.5</v>
      </c>
      <c r="D139" s="263">
        <v>143.13</v>
      </c>
      <c r="E139" s="242" t="s">
        <v>711</v>
      </c>
      <c r="F139" s="242" t="s">
        <v>716</v>
      </c>
      <c r="G139" s="211" t="str">
        <f>IFERROR(VLOOKUP(F139,[2]Реестр!A:K,2,0),"")</f>
        <v/>
      </c>
      <c r="H139" s="206">
        <v>250</v>
      </c>
      <c r="I139" s="207">
        <v>50</v>
      </c>
      <c r="J139" s="215"/>
      <c r="K139" s="208"/>
    </row>
    <row r="140" spans="1:11" s="202" customFormat="1" ht="18.75" x14ac:dyDescent="0.3">
      <c r="A140" s="263">
        <v>15.55</v>
      </c>
      <c r="B140" s="263">
        <v>15.4</v>
      </c>
      <c r="C140" s="263">
        <v>57.1</v>
      </c>
      <c r="D140" s="263">
        <v>364.2</v>
      </c>
      <c r="E140" s="242" t="s">
        <v>712</v>
      </c>
      <c r="F140" s="242" t="s">
        <v>713</v>
      </c>
      <c r="G140" s="211" t="str">
        <f>IFERROR(VLOOKUP(F140,[2]Реестр!A:K,2,0),"")</f>
        <v/>
      </c>
      <c r="H140" s="206">
        <v>200</v>
      </c>
      <c r="I140" s="206">
        <v>102.59</v>
      </c>
      <c r="J140" s="215"/>
      <c r="K140" s="208"/>
    </row>
    <row r="141" spans="1:11" s="202" customFormat="1" ht="18.75" x14ac:dyDescent="0.3">
      <c r="A141" s="263">
        <v>0.18</v>
      </c>
      <c r="B141" s="263">
        <v>0.05</v>
      </c>
      <c r="C141" s="263">
        <v>0.32</v>
      </c>
      <c r="D141" s="263">
        <v>37.582527999999996</v>
      </c>
      <c r="E141" s="242" t="s">
        <v>714</v>
      </c>
      <c r="F141" s="242" t="s">
        <v>328</v>
      </c>
      <c r="G141" s="211">
        <f>IFERROR(VLOOKUP(F141,[2]Реестр!A:K,2,0),"")</f>
        <v>200</v>
      </c>
      <c r="H141" s="206">
        <v>200</v>
      </c>
      <c r="I141" s="207">
        <v>19.54</v>
      </c>
      <c r="J141" s="215"/>
      <c r="K141" s="208"/>
    </row>
    <row r="142" spans="1:11" s="202" customFormat="1" ht="18.75" x14ac:dyDescent="0.3">
      <c r="A142" s="264">
        <v>3.3</v>
      </c>
      <c r="B142" s="264">
        <v>0.3</v>
      </c>
      <c r="C142" s="264">
        <v>23.4</v>
      </c>
      <c r="D142" s="264">
        <v>112</v>
      </c>
      <c r="E142" s="242" t="s">
        <v>471</v>
      </c>
      <c r="F142" s="242" t="s">
        <v>715</v>
      </c>
      <c r="G142" s="211" t="str">
        <f>IFERROR(VLOOKUP(F142,[2]Реестр!A:K,2,0),"")</f>
        <v/>
      </c>
      <c r="H142" s="206">
        <v>50</v>
      </c>
      <c r="I142" s="207">
        <v>4.5</v>
      </c>
      <c r="J142" s="215"/>
      <c r="K142" s="208"/>
    </row>
    <row r="143" spans="1:11" s="202" customFormat="1" ht="18.75" x14ac:dyDescent="0.3">
      <c r="A143" s="241">
        <v>2</v>
      </c>
      <c r="B143" s="241">
        <v>0.4</v>
      </c>
      <c r="C143" s="241">
        <v>10</v>
      </c>
      <c r="D143" s="241">
        <v>58</v>
      </c>
      <c r="E143" s="381" t="s">
        <v>471</v>
      </c>
      <c r="F143" s="381" t="s">
        <v>707</v>
      </c>
      <c r="G143" s="211" t="str">
        <f>IFERROR(VLOOKUP(F143,[2]Реестр!A:K,2,0),"")</f>
        <v/>
      </c>
      <c r="H143" s="206">
        <v>30</v>
      </c>
      <c r="I143" s="203">
        <v>2.7</v>
      </c>
      <c r="J143" s="215"/>
      <c r="K143" s="208"/>
    </row>
    <row r="144" spans="1:11" s="202" customFormat="1" ht="18.75" x14ac:dyDescent="0.3">
      <c r="A144" s="196"/>
      <c r="B144" s="196"/>
      <c r="C144" s="196"/>
      <c r="D144" s="196"/>
      <c r="E144" s="214"/>
      <c r="F144" s="204"/>
      <c r="G144" s="199"/>
      <c r="H144" s="200"/>
      <c r="I144" s="203"/>
      <c r="J144" s="215"/>
      <c r="K144" s="208"/>
    </row>
    <row r="145" spans="1:11" s="202" customFormat="1" ht="18.75" x14ac:dyDescent="0.3">
      <c r="A145" s="453" t="s">
        <v>16</v>
      </c>
      <c r="B145" s="454"/>
      <c r="C145" s="454"/>
      <c r="D145" s="454"/>
      <c r="E145" s="454"/>
      <c r="F145" s="455"/>
      <c r="G145" s="205"/>
      <c r="H145" s="206"/>
      <c r="I145" s="207">
        <f>SUM(I138:I144)</f>
        <v>224.26999999999998</v>
      </c>
      <c r="J145" s="215"/>
      <c r="K145" s="208"/>
    </row>
    <row r="146" spans="1:11" s="202" customFormat="1" ht="18.75" x14ac:dyDescent="0.3">
      <c r="A146" s="481" t="s">
        <v>677</v>
      </c>
      <c r="B146" s="482"/>
      <c r="C146" s="482"/>
      <c r="D146" s="482"/>
      <c r="E146" s="482"/>
      <c r="F146" s="482"/>
      <c r="G146" s="482"/>
      <c r="H146" s="482"/>
      <c r="I146" s="483"/>
      <c r="J146" s="215"/>
      <c r="K146" s="208"/>
    </row>
    <row r="147" spans="1:11" s="202" customFormat="1" ht="18.75" x14ac:dyDescent="0.3">
      <c r="A147" s="263">
        <v>5.55</v>
      </c>
      <c r="B147" s="263">
        <v>7.8</v>
      </c>
      <c r="C147" s="263">
        <v>15.95</v>
      </c>
      <c r="D147" s="263">
        <v>199.78905478333331</v>
      </c>
      <c r="E147" s="242" t="s">
        <v>711</v>
      </c>
      <c r="F147" s="242" t="s">
        <v>716</v>
      </c>
      <c r="G147" s="206">
        <v>200</v>
      </c>
      <c r="H147" s="206">
        <v>200</v>
      </c>
      <c r="I147" s="450">
        <v>130.88</v>
      </c>
      <c r="J147" s="215"/>
      <c r="K147" s="208"/>
    </row>
    <row r="148" spans="1:11" s="202" customFormat="1" ht="18.75" x14ac:dyDescent="0.3">
      <c r="A148" s="263">
        <v>16.579999999999998</v>
      </c>
      <c r="B148" s="263">
        <v>19.5</v>
      </c>
      <c r="C148" s="263">
        <v>68.38</v>
      </c>
      <c r="D148" s="263">
        <v>327.07</v>
      </c>
      <c r="E148" s="242" t="s">
        <v>712</v>
      </c>
      <c r="F148" s="242" t="s">
        <v>713</v>
      </c>
      <c r="G148" s="206">
        <v>200</v>
      </c>
      <c r="H148" s="206">
        <v>200</v>
      </c>
      <c r="I148" s="451"/>
      <c r="J148" s="215"/>
      <c r="K148" s="208"/>
    </row>
    <row r="149" spans="1:11" s="202" customFormat="1" ht="18.75" x14ac:dyDescent="0.3">
      <c r="A149" s="263">
        <v>0.14000000000000001</v>
      </c>
      <c r="B149" s="263">
        <v>0.1</v>
      </c>
      <c r="C149" s="263">
        <v>1.5</v>
      </c>
      <c r="D149" s="263">
        <v>83.962620000000015</v>
      </c>
      <c r="E149" s="242" t="s">
        <v>714</v>
      </c>
      <c r="F149" s="242" t="s">
        <v>328</v>
      </c>
      <c r="G149" s="206">
        <v>200</v>
      </c>
      <c r="H149" s="206">
        <v>200</v>
      </c>
      <c r="I149" s="451"/>
      <c r="J149" s="215"/>
      <c r="K149" s="208"/>
    </row>
    <row r="150" spans="1:11" s="202" customFormat="1" ht="18.75" x14ac:dyDescent="0.3">
      <c r="A150" s="209">
        <v>2.64</v>
      </c>
      <c r="B150" s="209">
        <v>0.24</v>
      </c>
      <c r="C150" s="209">
        <v>18.72</v>
      </c>
      <c r="D150" s="209">
        <v>89.6</v>
      </c>
      <c r="E150" s="405" t="s">
        <v>471</v>
      </c>
      <c r="F150" s="408" t="s">
        <v>66</v>
      </c>
      <c r="G150" s="206">
        <v>40</v>
      </c>
      <c r="H150" s="206">
        <v>40</v>
      </c>
      <c r="I150" s="451"/>
      <c r="J150" s="215"/>
      <c r="K150" s="208"/>
    </row>
    <row r="151" spans="1:11" s="202" customFormat="1" ht="18.75" x14ac:dyDescent="0.3">
      <c r="A151" s="209">
        <v>2.64</v>
      </c>
      <c r="B151" s="209">
        <v>0.48</v>
      </c>
      <c r="C151" s="209">
        <v>13.36</v>
      </c>
      <c r="D151" s="209">
        <v>77.2</v>
      </c>
      <c r="E151" s="405" t="s">
        <v>471</v>
      </c>
      <c r="F151" s="408" t="s">
        <v>65</v>
      </c>
      <c r="G151" s="206">
        <v>40</v>
      </c>
      <c r="H151" s="206">
        <v>40</v>
      </c>
      <c r="I151" s="452"/>
      <c r="J151" s="215"/>
      <c r="K151" s="208"/>
    </row>
    <row r="152" spans="1:11" s="202" customFormat="1" ht="18.75" x14ac:dyDescent="0.3">
      <c r="A152" s="453" t="s">
        <v>16</v>
      </c>
      <c r="B152" s="454"/>
      <c r="C152" s="454"/>
      <c r="D152" s="454"/>
      <c r="E152" s="454"/>
      <c r="F152" s="455"/>
      <c r="G152" s="205"/>
      <c r="H152" s="206"/>
      <c r="I152" s="207">
        <f>SUM(I147:I151)</f>
        <v>130.88</v>
      </c>
      <c r="J152" s="215"/>
      <c r="K152" s="208"/>
    </row>
    <row r="153" spans="1:11" s="202" customFormat="1" x14ac:dyDescent="0.25">
      <c r="A153" s="215"/>
      <c r="B153" s="252"/>
      <c r="C153" s="253"/>
      <c r="D153" s="253"/>
      <c r="E153" s="253"/>
      <c r="F153" s="253"/>
      <c r="G153" s="253"/>
      <c r="H153" s="253"/>
      <c r="I153" s="253"/>
      <c r="J153" s="215"/>
    </row>
    <row r="154" spans="1:11" s="215" customFormat="1" ht="18.75" x14ac:dyDescent="0.3">
      <c r="B154" s="252"/>
      <c r="C154" s="253"/>
      <c r="D154" s="253"/>
      <c r="E154" s="253"/>
      <c r="F154" s="254" t="s">
        <v>37</v>
      </c>
      <c r="G154" s="270"/>
      <c r="H154" s="257"/>
      <c r="I154" s="258" t="s">
        <v>569</v>
      </c>
      <c r="K154" s="202"/>
    </row>
    <row r="155" spans="1:11" s="215" customFormat="1" ht="18.75" x14ac:dyDescent="0.3">
      <c r="B155" s="252"/>
      <c r="C155" s="253"/>
      <c r="D155" s="253"/>
      <c r="E155" s="253"/>
      <c r="F155" s="254"/>
      <c r="G155" s="270"/>
      <c r="H155" s="418"/>
      <c r="I155" s="258"/>
      <c r="K155" s="202"/>
    </row>
    <row r="156" spans="1:11" s="202" customFormat="1" x14ac:dyDescent="0.25">
      <c r="A156" s="215"/>
      <c r="B156" s="252"/>
      <c r="C156" s="253"/>
      <c r="D156" s="253"/>
      <c r="E156" s="253"/>
      <c r="F156" s="253"/>
      <c r="G156" s="253"/>
      <c r="H156" s="414" t="s">
        <v>699</v>
      </c>
      <c r="I156" s="253"/>
      <c r="J156" s="215"/>
    </row>
  </sheetData>
  <autoFilter ref="A4:I93" xr:uid="{00000000-0009-0000-0000-000004000000}"/>
  <mergeCells count="59">
    <mergeCell ref="A146:I146"/>
    <mergeCell ref="A152:F152"/>
    <mergeCell ref="I147:I151"/>
    <mergeCell ref="A136:F136"/>
    <mergeCell ref="A137:I137"/>
    <mergeCell ref="A145:F145"/>
    <mergeCell ref="A126:F126"/>
    <mergeCell ref="A127:I127"/>
    <mergeCell ref="A132:F132"/>
    <mergeCell ref="A133:I133"/>
    <mergeCell ref="A22:I22"/>
    <mergeCell ref="A29:F29"/>
    <mergeCell ref="A30:I30"/>
    <mergeCell ref="A38:F38"/>
    <mergeCell ref="A39:I39"/>
    <mergeCell ref="A84:F84"/>
    <mergeCell ref="A46:I46"/>
    <mergeCell ref="A54:F54"/>
    <mergeCell ref="A55:I55"/>
    <mergeCell ref="A56:I56"/>
    <mergeCell ref="A62:I62"/>
    <mergeCell ref="A70:F70"/>
    <mergeCell ref="A1:B1"/>
    <mergeCell ref="H1:I1"/>
    <mergeCell ref="H2:I2"/>
    <mergeCell ref="A3:C3"/>
    <mergeCell ref="D3:E3"/>
    <mergeCell ref="H3:I3"/>
    <mergeCell ref="J4:J5"/>
    <mergeCell ref="A6:I6"/>
    <mergeCell ref="A12:F12"/>
    <mergeCell ref="A13:I13"/>
    <mergeCell ref="G4:G5"/>
    <mergeCell ref="H4:H5"/>
    <mergeCell ref="A4:C4"/>
    <mergeCell ref="D4:D5"/>
    <mergeCell ref="E4:E5"/>
    <mergeCell ref="F4:F5"/>
    <mergeCell ref="A100:F100"/>
    <mergeCell ref="A101:I101"/>
    <mergeCell ref="I102:I107"/>
    <mergeCell ref="A108:F108"/>
    <mergeCell ref="I4:I5"/>
    <mergeCell ref="A21:F21"/>
    <mergeCell ref="A40:I40"/>
    <mergeCell ref="A85:I85"/>
    <mergeCell ref="A93:F93"/>
    <mergeCell ref="A94:I94"/>
    <mergeCell ref="I95:I99"/>
    <mergeCell ref="A71:I71"/>
    <mergeCell ref="A78:F78"/>
    <mergeCell ref="A79:I79"/>
    <mergeCell ref="A81:F81"/>
    <mergeCell ref="A82:I82"/>
    <mergeCell ref="A109:I109"/>
    <mergeCell ref="A117:F117"/>
    <mergeCell ref="A118:I118"/>
    <mergeCell ref="I119:I125"/>
    <mergeCell ref="I110:I116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400-000000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F116</xm:sqref>
        </x14:dataValidation>
        <x14:dataValidation type="list" allowBlank="1" showInputMessage="1" showErrorMessage="1" xr:uid="{00000000-0002-0000-0400-000001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F60 F124 F131 F52:F53 F76:F77 F68:F69 F10 F19:F20 F27:F28 F91 F143 F36:F37 F44 F98:F99 F105:F106 F151</xm:sqref>
        </x14:dataValidation>
        <x14:dataValidation type="list" allowBlank="1" showInputMessage="1" showErrorMessage="1" xr:uid="{00000000-0002-0000-04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F130 F7 F57 F18 F26 F35 F67 F102:F104 F111 F122:F123 F142 F90 F51 F41 F75 F95:F97 F107 F113 F150</xm:sqref>
        </x14:dataValidation>
        <x14:dataValidation type="list" allowBlank="1" showInputMessage="1" showErrorMessage="1" xr:uid="{00000000-0002-0000-04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F68:F69 F124 F131 F52:F53 F76:F77 F98:F99 F143 F10 F19:F20 F27:F28 F36:F37 F60 F44 F105:F106 F91 F151</xm:sqref>
        </x14:dataValidation>
        <x14:dataValidation type="list" allowBlank="1" showInputMessage="1" showErrorMessage="1" xr:uid="{00000000-0002-0000-0400-000004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F80 F134</xm:sqref>
        </x14:dataValidation>
        <x14:dataValidation type="list" allowBlank="1" showInputMessage="1" showErrorMessage="1" xr:uid="{00000000-0002-0000-0400-000007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F125 F144 F92 F115</xm:sqref>
        </x14:dataValidation>
        <x14:dataValidation type="list" allowBlank="1" showInputMessage="1" showErrorMessage="1" xr:uid="{00000000-0002-0000-0400-000008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F87 F139 F15 F119:F121 F32 F112 F128 F64 F48 F83 F110 F147</xm:sqref>
        </x14:dataValidation>
        <x14:dataValidation type="list" allowBlank="1" showInputMessage="1" showErrorMessage="1" xr:uid="{00000000-0002-0000-0400-00000A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3">
    <pageSetUpPr fitToPage="1"/>
  </sheetPr>
  <dimension ref="A1:L147"/>
  <sheetViews>
    <sheetView tabSelected="1" view="pageBreakPreview" zoomScaleNormal="100" zoomScaleSheetLayoutView="100" workbookViewId="0">
      <selection activeCell="F15" sqref="F15"/>
    </sheetView>
  </sheetViews>
  <sheetFormatPr defaultRowHeight="15.75" x14ac:dyDescent="0.25"/>
  <cols>
    <col min="1" max="1" width="11.28515625" style="215" customWidth="1"/>
    <col min="2" max="2" width="11.28515625" style="252" customWidth="1"/>
    <col min="3" max="3" width="10.5703125" style="253" customWidth="1"/>
    <col min="4" max="4" width="10.28515625" style="253" customWidth="1"/>
    <col min="5" max="5" width="14" style="253" customWidth="1"/>
    <col min="6" max="6" width="57.85546875" style="253" customWidth="1"/>
    <col min="7" max="7" width="17.85546875" style="253" hidden="1" customWidth="1"/>
    <col min="8" max="9" width="15.5703125" style="253" customWidth="1"/>
    <col min="10" max="10" width="25.5703125" style="215" customWidth="1"/>
    <col min="11" max="1025" width="8.7109375" style="202" customWidth="1"/>
    <col min="1026" max="16384" width="9.140625" style="202"/>
  </cols>
  <sheetData>
    <row r="1" spans="1:12" s="234" customFormat="1" ht="29.25" customHeight="1" x14ac:dyDescent="0.25">
      <c r="A1" s="468" t="s">
        <v>0</v>
      </c>
      <c r="B1" s="468"/>
      <c r="C1" s="235"/>
      <c r="D1" s="235"/>
      <c r="E1" s="235"/>
      <c r="F1" s="231" t="s">
        <v>1</v>
      </c>
      <c r="G1" s="231"/>
      <c r="H1" s="439" t="s">
        <v>0</v>
      </c>
      <c r="I1" s="439"/>
    </row>
    <row r="2" spans="1:12" s="234" customFormat="1" ht="29.25" customHeight="1" x14ac:dyDescent="0.25">
      <c r="A2" s="235" t="s">
        <v>2</v>
      </c>
      <c r="B2" s="235"/>
      <c r="C2" s="259"/>
      <c r="D2" s="259"/>
      <c r="E2" s="259"/>
      <c r="F2" s="231" t="s">
        <v>573</v>
      </c>
      <c r="G2" s="231"/>
      <c r="H2" s="469" t="s">
        <v>571</v>
      </c>
      <c r="I2" s="469"/>
      <c r="J2" s="235"/>
    </row>
    <row r="3" spans="1:12" s="234" customFormat="1" ht="29.25" customHeight="1" x14ac:dyDescent="0.25">
      <c r="A3" s="437" t="s">
        <v>522</v>
      </c>
      <c r="B3" s="437"/>
      <c r="C3" s="437"/>
      <c r="D3" s="438"/>
      <c r="E3" s="438"/>
      <c r="F3" s="231" t="s">
        <v>748</v>
      </c>
      <c r="G3" s="231"/>
      <c r="H3" s="470" t="s">
        <v>572</v>
      </c>
      <c r="I3" s="470"/>
    </row>
    <row r="4" spans="1:12" ht="15" customHeight="1" x14ac:dyDescent="0.25">
      <c r="A4" s="472" t="s">
        <v>4</v>
      </c>
      <c r="B4" s="472"/>
      <c r="C4" s="472"/>
      <c r="D4" s="471" t="s">
        <v>5</v>
      </c>
      <c r="E4" s="471" t="s">
        <v>6</v>
      </c>
      <c r="F4" s="471" t="s">
        <v>7</v>
      </c>
      <c r="G4" s="473" t="s">
        <v>8</v>
      </c>
      <c r="H4" s="471" t="s">
        <v>9</v>
      </c>
      <c r="I4" s="471" t="s">
        <v>10</v>
      </c>
      <c r="J4" s="471" t="s">
        <v>11</v>
      </c>
    </row>
    <row r="5" spans="1:12" x14ac:dyDescent="0.25">
      <c r="A5" s="232" t="s">
        <v>12</v>
      </c>
      <c r="B5" s="232" t="s">
        <v>13</v>
      </c>
      <c r="C5" s="232" t="s">
        <v>14</v>
      </c>
      <c r="D5" s="471"/>
      <c r="E5" s="471"/>
      <c r="F5" s="471"/>
      <c r="G5" s="473"/>
      <c r="H5" s="471"/>
      <c r="I5" s="471"/>
      <c r="J5" s="471"/>
    </row>
    <row r="6" spans="1:12" ht="18" customHeight="1" x14ac:dyDescent="0.3">
      <c r="A6" s="462" t="s">
        <v>15</v>
      </c>
      <c r="B6" s="462"/>
      <c r="C6" s="462"/>
      <c r="D6" s="462"/>
      <c r="E6" s="462"/>
      <c r="F6" s="462"/>
      <c r="G6" s="462"/>
      <c r="H6" s="462"/>
      <c r="I6" s="462"/>
      <c r="J6" s="212"/>
    </row>
    <row r="7" spans="1:12" ht="18" customHeight="1" x14ac:dyDescent="0.3">
      <c r="A7" s="243">
        <v>4.2300000000000004</v>
      </c>
      <c r="B7" s="243">
        <v>4.96</v>
      </c>
      <c r="C7" s="243">
        <v>38.700000000000003</v>
      </c>
      <c r="D7" s="243">
        <v>228.9</v>
      </c>
      <c r="E7" s="242" t="str">
        <f>"1/50"</f>
        <v>1/50</v>
      </c>
      <c r="F7" s="242" t="s">
        <v>706</v>
      </c>
      <c r="G7" s="211" t="str">
        <f>IFERROR(VLOOKUP(F7,[1]Реестр!A:K,2,0),"")</f>
        <v/>
      </c>
      <c r="H7" s="210">
        <v>30</v>
      </c>
      <c r="I7" s="207">
        <v>38.369999999999997</v>
      </c>
      <c r="J7" s="201" t="str">
        <f>IFERROR(VLOOKUP(O7,Реестр!#REF!,3,0)*Q7/P7,"")</f>
        <v/>
      </c>
    </row>
    <row r="8" spans="1:12" ht="18" customHeight="1" x14ac:dyDescent="0.3">
      <c r="A8" s="243">
        <v>13.79</v>
      </c>
      <c r="B8" s="243">
        <v>14.6</v>
      </c>
      <c r="C8" s="243">
        <v>23.4</v>
      </c>
      <c r="D8" s="243">
        <v>266.7</v>
      </c>
      <c r="E8" s="242" t="str">
        <f>"4/56"</f>
        <v>4/56</v>
      </c>
      <c r="F8" s="242" t="s">
        <v>705</v>
      </c>
      <c r="G8" s="211"/>
      <c r="H8" s="210">
        <v>150</v>
      </c>
      <c r="I8" s="207">
        <v>75.42</v>
      </c>
      <c r="J8" s="201" t="str">
        <f>IFERROR(VLOOKUP(O8,Реестр!#REF!,3,0)*Q8/P8,"")</f>
        <v/>
      </c>
    </row>
    <row r="9" spans="1:12" ht="18" customHeight="1" x14ac:dyDescent="0.3">
      <c r="A9" s="243">
        <v>0.18</v>
      </c>
      <c r="B9" s="243">
        <v>0.04</v>
      </c>
      <c r="C9" s="243">
        <v>13.75</v>
      </c>
      <c r="D9" s="243">
        <v>53.136642799999997</v>
      </c>
      <c r="E9" s="242" t="str">
        <f>"11/56"</f>
        <v>11/56</v>
      </c>
      <c r="F9" s="242" t="s">
        <v>499</v>
      </c>
      <c r="G9" s="211"/>
      <c r="H9" s="210">
        <v>200</v>
      </c>
      <c r="I9" s="207">
        <v>8.15</v>
      </c>
      <c r="J9" s="201" t="str">
        <f>IFERROR(VLOOKUP(O9,Реестр!#REF!,3,0)*Q9/P9,"")</f>
        <v/>
      </c>
    </row>
    <row r="10" spans="1:12" ht="18" customHeight="1" x14ac:dyDescent="0.3">
      <c r="A10" s="264">
        <v>1.3</v>
      </c>
      <c r="B10" s="264">
        <v>0.2</v>
      </c>
      <c r="C10" s="264">
        <v>6.7</v>
      </c>
      <c r="D10" s="264">
        <v>39</v>
      </c>
      <c r="E10" s="381" t="str">
        <f>"-"</f>
        <v>-</v>
      </c>
      <c r="F10" s="381" t="s">
        <v>707</v>
      </c>
      <c r="G10" s="211"/>
      <c r="H10" s="206">
        <v>20</v>
      </c>
      <c r="I10" s="207">
        <v>1.8</v>
      </c>
      <c r="J10" s="201" t="str">
        <f>IFERROR(VLOOKUP(O10,Реестр!#REF!,3,0)*Q10/P10,"")</f>
        <v/>
      </c>
    </row>
    <row r="11" spans="1:12" ht="18.75" x14ac:dyDescent="0.3">
      <c r="A11" s="264">
        <v>0.52</v>
      </c>
      <c r="B11" s="264">
        <v>0.52</v>
      </c>
      <c r="C11" s="264">
        <v>15.08</v>
      </c>
      <c r="D11" s="264">
        <v>63.283999999999985</v>
      </c>
      <c r="E11" s="381" t="str">
        <f>"-"</f>
        <v>-</v>
      </c>
      <c r="F11" s="381" t="s">
        <v>708</v>
      </c>
      <c r="G11" s="211"/>
      <c r="H11" s="206">
        <v>130</v>
      </c>
      <c r="I11" s="207">
        <v>25.78</v>
      </c>
      <c r="J11" s="206"/>
      <c r="K11" s="208"/>
    </row>
    <row r="12" spans="1:12" ht="18" customHeight="1" x14ac:dyDescent="0.3">
      <c r="A12" s="464" t="s">
        <v>16</v>
      </c>
      <c r="B12" s="464"/>
      <c r="C12" s="464"/>
      <c r="D12" s="464"/>
      <c r="E12" s="464"/>
      <c r="F12" s="464"/>
      <c r="G12" s="205"/>
      <c r="H12" s="206"/>
      <c r="I12" s="207">
        <f>SUM(I7:I11)</f>
        <v>149.51999999999998</v>
      </c>
      <c r="J12" s="206">
        <v>85.2</v>
      </c>
      <c r="K12" s="208">
        <f>I12-J12</f>
        <v>64.319999999999979</v>
      </c>
      <c r="L12" s="208"/>
    </row>
    <row r="13" spans="1:12" ht="18" customHeight="1" x14ac:dyDescent="0.3">
      <c r="A13" s="462" t="s">
        <v>17</v>
      </c>
      <c r="B13" s="462"/>
      <c r="C13" s="462"/>
      <c r="D13" s="462"/>
      <c r="E13" s="462"/>
      <c r="F13" s="462"/>
      <c r="G13" s="462"/>
      <c r="H13" s="462"/>
      <c r="I13" s="462"/>
      <c r="J13" s="212"/>
    </row>
    <row r="14" spans="1:12" ht="30" x14ac:dyDescent="0.3">
      <c r="A14" s="383">
        <v>1.33</v>
      </c>
      <c r="B14" s="383">
        <v>5.12</v>
      </c>
      <c r="C14" s="383">
        <v>4.0999999999999996</v>
      </c>
      <c r="D14" s="383">
        <v>73.52</v>
      </c>
      <c r="E14" s="382" t="s">
        <v>709</v>
      </c>
      <c r="F14" s="242" t="s">
        <v>710</v>
      </c>
      <c r="G14" s="211" t="str">
        <f>IFERROR(VLOOKUP(F14,[2]Реестр!A:K,2,0),"")</f>
        <v/>
      </c>
      <c r="H14" s="210">
        <v>80</v>
      </c>
      <c r="I14" s="230">
        <v>44.94</v>
      </c>
      <c r="J14" s="201" t="str">
        <f>IFERROR(VLOOKUP(O14,Реестр!#REF!,3,0)*Q14/P14,"")</f>
        <v/>
      </c>
    </row>
    <row r="15" spans="1:12" ht="18" customHeight="1" x14ac:dyDescent="0.3">
      <c r="A15" s="263">
        <v>4.1100000000000003</v>
      </c>
      <c r="B15" s="263">
        <v>4.7699999999999996</v>
      </c>
      <c r="C15" s="263">
        <v>19.5</v>
      </c>
      <c r="D15" s="263">
        <v>143.13</v>
      </c>
      <c r="E15" s="242" t="s">
        <v>711</v>
      </c>
      <c r="F15" s="242" t="s">
        <v>716</v>
      </c>
      <c r="G15" s="211" t="str">
        <f>IFERROR(VLOOKUP(F15,[2]Реестр!A:K,2,0),"")</f>
        <v/>
      </c>
      <c r="H15" s="206">
        <v>250</v>
      </c>
      <c r="I15" s="207">
        <v>50</v>
      </c>
      <c r="J15" s="201" t="str">
        <f>IFERROR(VLOOKUP(O15,Реестр!#REF!,3,0)*Q15/P15,"")</f>
        <v/>
      </c>
    </row>
    <row r="16" spans="1:12" ht="18" customHeight="1" x14ac:dyDescent="0.3">
      <c r="A16" s="263">
        <v>15.55</v>
      </c>
      <c r="B16" s="263">
        <v>15.4</v>
      </c>
      <c r="C16" s="263">
        <v>57.1</v>
      </c>
      <c r="D16" s="263">
        <v>364.2</v>
      </c>
      <c r="E16" s="242" t="s">
        <v>712</v>
      </c>
      <c r="F16" s="242" t="s">
        <v>713</v>
      </c>
      <c r="G16" s="211" t="str">
        <f>IFERROR(VLOOKUP(F16,[2]Реестр!A:K,2,0),"")</f>
        <v/>
      </c>
      <c r="H16" s="206">
        <v>200</v>
      </c>
      <c r="I16" s="206">
        <v>102.59</v>
      </c>
      <c r="J16" s="201" t="str">
        <f>IFERROR(VLOOKUP(O16,Реестр!#REF!,3,0)*Q16/P16,"")</f>
        <v/>
      </c>
    </row>
    <row r="17" spans="1:12" ht="18" customHeight="1" x14ac:dyDescent="0.3">
      <c r="A17" s="263">
        <v>0.18</v>
      </c>
      <c r="B17" s="263">
        <v>0.05</v>
      </c>
      <c r="C17" s="263">
        <v>0.32</v>
      </c>
      <c r="D17" s="263">
        <v>37.582527999999996</v>
      </c>
      <c r="E17" s="242" t="s">
        <v>714</v>
      </c>
      <c r="F17" s="242" t="s">
        <v>328</v>
      </c>
      <c r="G17" s="211">
        <f>IFERROR(VLOOKUP(F17,[2]Реестр!A:K,2,0),"")</f>
        <v>200</v>
      </c>
      <c r="H17" s="206">
        <v>200</v>
      </c>
      <c r="I17" s="207">
        <v>19.54</v>
      </c>
      <c r="J17" s="201"/>
    </row>
    <row r="18" spans="1:12" ht="18" customHeight="1" x14ac:dyDescent="0.3">
      <c r="A18" s="264">
        <v>3.3</v>
      </c>
      <c r="B18" s="264">
        <v>0.3</v>
      </c>
      <c r="C18" s="264">
        <v>23.4</v>
      </c>
      <c r="D18" s="264">
        <v>112</v>
      </c>
      <c r="E18" s="242" t="s">
        <v>471</v>
      </c>
      <c r="F18" s="242" t="s">
        <v>715</v>
      </c>
      <c r="G18" s="211" t="str">
        <f>IFERROR(VLOOKUP(F18,[2]Реестр!A:K,2,0),"")</f>
        <v/>
      </c>
      <c r="H18" s="206">
        <v>50</v>
      </c>
      <c r="I18" s="207">
        <v>4.5</v>
      </c>
      <c r="J18" s="201" t="str">
        <f>IFERROR(VLOOKUP(O18,Реестр!#REF!,3,0)*Q18/P18,"")</f>
        <v/>
      </c>
    </row>
    <row r="19" spans="1:12" ht="18" customHeight="1" x14ac:dyDescent="0.3">
      <c r="A19" s="241">
        <v>2</v>
      </c>
      <c r="B19" s="241">
        <v>0.4</v>
      </c>
      <c r="C19" s="241">
        <v>10</v>
      </c>
      <c r="D19" s="241">
        <v>58</v>
      </c>
      <c r="E19" s="381" t="s">
        <v>471</v>
      </c>
      <c r="F19" s="381" t="s">
        <v>707</v>
      </c>
      <c r="G19" s="211" t="str">
        <f>IFERROR(VLOOKUP(F19,[2]Реестр!A:K,2,0),"")</f>
        <v/>
      </c>
      <c r="H19" s="206">
        <v>30</v>
      </c>
      <c r="I19" s="203">
        <v>2.7</v>
      </c>
      <c r="J19" s="201" t="str">
        <f>IFERROR(VLOOKUP(O19,Реестр!#REF!,3,0)*Q19/P19,"")</f>
        <v/>
      </c>
    </row>
    <row r="20" spans="1:12" ht="18" customHeight="1" x14ac:dyDescent="0.3">
      <c r="A20" s="196"/>
      <c r="B20" s="196"/>
      <c r="C20" s="196"/>
      <c r="D20" s="196"/>
      <c r="E20" s="214"/>
      <c r="F20" s="204"/>
      <c r="G20" s="199"/>
      <c r="H20" s="200"/>
      <c r="I20" s="203"/>
      <c r="J20" s="201"/>
    </row>
    <row r="21" spans="1:12" ht="18.75" x14ac:dyDescent="0.3">
      <c r="A21" s="464" t="s">
        <v>16</v>
      </c>
      <c r="B21" s="464"/>
      <c r="C21" s="464"/>
      <c r="D21" s="464"/>
      <c r="E21" s="464"/>
      <c r="F21" s="464"/>
      <c r="G21" s="205"/>
      <c r="H21" s="206"/>
      <c r="I21" s="207">
        <f>SUM(I14:I20)</f>
        <v>224.26999999999998</v>
      </c>
      <c r="J21" s="206">
        <v>127.79</v>
      </c>
      <c r="K21" s="208">
        <f>J21-I21</f>
        <v>-96.479999999999976</v>
      </c>
    </row>
    <row r="22" spans="1:12" ht="18.75" x14ac:dyDescent="0.3">
      <c r="A22" s="462" t="s">
        <v>500</v>
      </c>
      <c r="B22" s="462"/>
      <c r="C22" s="462"/>
      <c r="D22" s="462"/>
      <c r="E22" s="462"/>
      <c r="F22" s="462"/>
      <c r="G22" s="462"/>
      <c r="H22" s="462"/>
      <c r="I22" s="462"/>
      <c r="J22" s="212"/>
    </row>
    <row r="23" spans="1:12" ht="18.75" x14ac:dyDescent="0.25">
      <c r="A23" s="263">
        <v>0.48</v>
      </c>
      <c r="B23" s="263">
        <v>2.37</v>
      </c>
      <c r="C23" s="263">
        <v>3.09</v>
      </c>
      <c r="D23" s="263">
        <v>36.64</v>
      </c>
      <c r="E23" s="384" t="str">
        <f>"7/26"</f>
        <v>7/26</v>
      </c>
      <c r="F23" s="385" t="s">
        <v>717</v>
      </c>
      <c r="G23" s="211" t="str">
        <f>IFERROR(VLOOKUP(F23,[1]Реестр!A:K,2,0),"")</f>
        <v/>
      </c>
      <c r="H23" s="210">
        <v>30</v>
      </c>
      <c r="I23" s="230">
        <v>19.260000000000002</v>
      </c>
      <c r="J23" s="212"/>
    </row>
    <row r="24" spans="1:12" ht="18.75" x14ac:dyDescent="0.3">
      <c r="A24" s="348">
        <v>19.440000000000001</v>
      </c>
      <c r="B24" s="348">
        <v>19.420000000000002</v>
      </c>
      <c r="C24" s="348">
        <v>57.63</v>
      </c>
      <c r="D24" s="348">
        <v>436.2</v>
      </c>
      <c r="E24" s="242" t="s">
        <v>712</v>
      </c>
      <c r="F24" s="242" t="s">
        <v>713</v>
      </c>
      <c r="G24" s="211" t="str">
        <f>IFERROR(VLOOKUP(F24,[2]Реестр!A:K,2,0),"")</f>
        <v/>
      </c>
      <c r="H24" s="206">
        <v>250</v>
      </c>
      <c r="I24" s="206">
        <v>130.94</v>
      </c>
      <c r="J24" s="201" t="str">
        <f>IFERROR(VLOOKUP(O24,Реестр!#REF!,3,0)*Q24/P24,"")</f>
        <v/>
      </c>
    </row>
    <row r="25" spans="1:12" ht="18.75" x14ac:dyDescent="0.3">
      <c r="A25" s="263">
        <v>0.18</v>
      </c>
      <c r="B25" s="263">
        <v>0.05</v>
      </c>
      <c r="C25" s="263">
        <v>0.32</v>
      </c>
      <c r="D25" s="263">
        <v>37.582527999999996</v>
      </c>
      <c r="E25" s="242" t="s">
        <v>714</v>
      </c>
      <c r="F25" s="386" t="s">
        <v>328</v>
      </c>
      <c r="G25" s="211">
        <f>IFERROR(VLOOKUP(F25,[2]Реестр!A:K,2,0),"")</f>
        <v>200</v>
      </c>
      <c r="H25" s="206">
        <v>200</v>
      </c>
      <c r="I25" s="207">
        <v>19.54</v>
      </c>
      <c r="J25" s="201"/>
    </row>
    <row r="26" spans="1:12" ht="18.75" x14ac:dyDescent="0.3">
      <c r="A26" s="264">
        <v>3.3</v>
      </c>
      <c r="B26" s="264">
        <v>0.3</v>
      </c>
      <c r="C26" s="264">
        <v>23.4</v>
      </c>
      <c r="D26" s="264">
        <v>112</v>
      </c>
      <c r="E26" s="242" t="str">
        <f>"-"</f>
        <v>-</v>
      </c>
      <c r="F26" s="387" t="s">
        <v>715</v>
      </c>
      <c r="G26" s="211" t="str">
        <f>IFERROR(VLOOKUP(F26,[2]Реестр!A:K,2,0),"")</f>
        <v/>
      </c>
      <c r="H26" s="206">
        <v>50</v>
      </c>
      <c r="I26" s="207">
        <v>4.5</v>
      </c>
      <c r="J26" s="201" t="str">
        <f>IFERROR(VLOOKUP(O26,Реестр!#REF!,3,0)*Q26/P26,"")</f>
        <v/>
      </c>
    </row>
    <row r="27" spans="1:12" ht="18.75" x14ac:dyDescent="0.3">
      <c r="A27" s="264">
        <v>2</v>
      </c>
      <c r="B27" s="264">
        <v>0.4</v>
      </c>
      <c r="C27" s="264">
        <v>10</v>
      </c>
      <c r="D27" s="264">
        <v>58</v>
      </c>
      <c r="E27" s="381" t="str">
        <f>"-"</f>
        <v>-</v>
      </c>
      <c r="F27" s="381" t="s">
        <v>707</v>
      </c>
      <c r="G27" s="211" t="str">
        <f>IFERROR(VLOOKUP(F27,[2]Реестр!A:K,2,0),"")</f>
        <v/>
      </c>
      <c r="H27" s="206">
        <v>30</v>
      </c>
      <c r="I27" s="203">
        <v>2.7</v>
      </c>
      <c r="J27" s="201"/>
    </row>
    <row r="28" spans="1:12" ht="18.75" x14ac:dyDescent="0.3">
      <c r="A28" s="196"/>
      <c r="B28" s="196"/>
      <c r="C28" s="196"/>
      <c r="D28" s="196"/>
      <c r="E28" s="197"/>
      <c r="F28" s="217"/>
      <c r="G28" s="199"/>
      <c r="H28" s="206"/>
      <c r="I28" s="203"/>
      <c r="J28" s="201" t="str">
        <f>IFERROR(VLOOKUP(O28,Реестр!#REF!,3,0)*Q28/P28,"")</f>
        <v/>
      </c>
    </row>
    <row r="29" spans="1:12" ht="18.75" x14ac:dyDescent="0.3">
      <c r="A29" s="453" t="s">
        <v>16</v>
      </c>
      <c r="B29" s="454"/>
      <c r="C29" s="454"/>
      <c r="D29" s="454"/>
      <c r="E29" s="454"/>
      <c r="F29" s="455"/>
      <c r="G29" s="205"/>
      <c r="H29" s="206"/>
      <c r="I29" s="207">
        <f>SUM(I23:I28)</f>
        <v>176.93999999999997</v>
      </c>
      <c r="J29" s="206">
        <v>98.52</v>
      </c>
      <c r="K29" s="208">
        <f>I29-J29</f>
        <v>78.419999999999973</v>
      </c>
      <c r="L29" s="208"/>
    </row>
    <row r="30" spans="1:12" ht="18.75" x14ac:dyDescent="0.3">
      <c r="A30" s="462" t="s">
        <v>501</v>
      </c>
      <c r="B30" s="462"/>
      <c r="C30" s="462"/>
      <c r="D30" s="462"/>
      <c r="E30" s="462"/>
      <c r="F30" s="462"/>
      <c r="G30" s="462"/>
      <c r="H30" s="462"/>
      <c r="I30" s="462"/>
      <c r="J30" s="201"/>
    </row>
    <row r="31" spans="1:12" ht="30" x14ac:dyDescent="0.3">
      <c r="A31" s="383">
        <v>2.2999999999999998</v>
      </c>
      <c r="B31" s="383">
        <v>6.01</v>
      </c>
      <c r="C31" s="383">
        <v>4.01</v>
      </c>
      <c r="D31" s="383">
        <v>72.147796</v>
      </c>
      <c r="E31" s="242" t="s">
        <v>709</v>
      </c>
      <c r="F31" s="242" t="s">
        <v>710</v>
      </c>
      <c r="G31" s="211" t="str">
        <f>IFERROR(VLOOKUP(F31,[2]Реестр!A:K,2,0),"")</f>
        <v/>
      </c>
      <c r="H31" s="210">
        <v>100</v>
      </c>
      <c r="I31" s="230">
        <v>56.17</v>
      </c>
      <c r="J31" s="201"/>
    </row>
    <row r="32" spans="1:12" ht="18.75" x14ac:dyDescent="0.3">
      <c r="A32" s="263">
        <v>4.1100000000000003</v>
      </c>
      <c r="B32" s="263">
        <v>4.7699999999999996</v>
      </c>
      <c r="C32" s="263">
        <v>26.5</v>
      </c>
      <c r="D32" s="263">
        <v>213.5</v>
      </c>
      <c r="E32" s="242" t="s">
        <v>711</v>
      </c>
      <c r="F32" s="242" t="s">
        <v>716</v>
      </c>
      <c r="G32" s="211" t="str">
        <f>IFERROR(VLOOKUP(F32,[2]Реестр!A:K,2,0),"")</f>
        <v/>
      </c>
      <c r="H32" s="206">
        <v>250</v>
      </c>
      <c r="I32" s="207">
        <v>50</v>
      </c>
      <c r="J32" s="206"/>
      <c r="K32" s="208">
        <f>I38-J32</f>
        <v>265.40000000000003</v>
      </c>
    </row>
    <row r="33" spans="1:12" ht="18.75" x14ac:dyDescent="0.3">
      <c r="A33" s="348">
        <v>17.5</v>
      </c>
      <c r="B33" s="348">
        <v>15.6</v>
      </c>
      <c r="C33" s="348">
        <v>42.3</v>
      </c>
      <c r="D33" s="348">
        <v>265.7</v>
      </c>
      <c r="E33" s="242" t="s">
        <v>712</v>
      </c>
      <c r="F33" s="242" t="s">
        <v>713</v>
      </c>
      <c r="G33" s="211" t="str">
        <f>IFERROR(VLOOKUP(F33,[2]Реестр!A:K,2,0),"")</f>
        <v/>
      </c>
      <c r="H33" s="206">
        <v>250</v>
      </c>
      <c r="I33" s="206">
        <v>130.94</v>
      </c>
      <c r="J33" s="212"/>
    </row>
    <row r="34" spans="1:12" ht="18.75" x14ac:dyDescent="0.3">
      <c r="A34" s="263">
        <v>3.94</v>
      </c>
      <c r="B34" s="263">
        <v>5.1100000000000003</v>
      </c>
      <c r="C34" s="263">
        <v>27.5</v>
      </c>
      <c r="D34" s="263">
        <v>170.19544859999999</v>
      </c>
      <c r="E34" s="242" t="s">
        <v>714</v>
      </c>
      <c r="F34" s="386" t="s">
        <v>328</v>
      </c>
      <c r="G34" s="211">
        <f>IFERROR(VLOOKUP(F34,[2]Реестр!A:K,2,0),"")</f>
        <v>200</v>
      </c>
      <c r="H34" s="206">
        <v>200</v>
      </c>
      <c r="I34" s="207">
        <v>19.54</v>
      </c>
      <c r="J34" s="212"/>
    </row>
    <row r="35" spans="1:12" ht="18.75" x14ac:dyDescent="0.3">
      <c r="A35" s="264">
        <v>0.14000000000000001</v>
      </c>
      <c r="B35" s="264">
        <v>0.1</v>
      </c>
      <c r="C35" s="264">
        <v>1.5</v>
      </c>
      <c r="D35" s="264">
        <v>83.962620000000015</v>
      </c>
      <c r="E35" s="242" t="s">
        <v>471</v>
      </c>
      <c r="F35" s="242" t="s">
        <v>715</v>
      </c>
      <c r="G35" s="211" t="str">
        <f>IFERROR(VLOOKUP(F35,[2]Реестр!A:K,2,0),"")</f>
        <v/>
      </c>
      <c r="H35" s="206">
        <v>50</v>
      </c>
      <c r="I35" s="207">
        <v>4.5</v>
      </c>
      <c r="J35" s="212"/>
    </row>
    <row r="36" spans="1:12" ht="18.75" x14ac:dyDescent="0.3">
      <c r="A36" s="264">
        <v>3.3</v>
      </c>
      <c r="B36" s="264">
        <v>0.3</v>
      </c>
      <c r="C36" s="264">
        <v>23.4</v>
      </c>
      <c r="D36" s="264">
        <v>112</v>
      </c>
      <c r="E36" s="381" t="s">
        <v>471</v>
      </c>
      <c r="F36" s="381" t="s">
        <v>707</v>
      </c>
      <c r="G36" s="211" t="str">
        <f>IFERROR(VLOOKUP(F36,[2]Реестр!A:K,2,0),"")</f>
        <v/>
      </c>
      <c r="H36" s="206">
        <v>50</v>
      </c>
      <c r="I36" s="203">
        <v>4.25</v>
      </c>
      <c r="J36" s="394"/>
    </row>
    <row r="37" spans="1:12" ht="18.75" x14ac:dyDescent="0.3">
      <c r="A37" s="209"/>
      <c r="B37" s="209"/>
      <c r="C37" s="209"/>
      <c r="D37" s="209"/>
      <c r="E37" s="218"/>
      <c r="F37" s="217"/>
      <c r="G37" s="211"/>
      <c r="H37" s="206"/>
      <c r="I37" s="207"/>
      <c r="J37" s="394"/>
    </row>
    <row r="38" spans="1:12" ht="18.75" x14ac:dyDescent="0.3">
      <c r="A38" s="453" t="s">
        <v>16</v>
      </c>
      <c r="B38" s="454"/>
      <c r="C38" s="454"/>
      <c r="D38" s="454"/>
      <c r="E38" s="454"/>
      <c r="F38" s="455"/>
      <c r="G38" s="205"/>
      <c r="H38" s="206"/>
      <c r="I38" s="207">
        <f>SUM(I31:I37)</f>
        <v>265.40000000000003</v>
      </c>
      <c r="J38" s="206">
        <v>147.79</v>
      </c>
      <c r="K38" s="208">
        <f>I38-J38</f>
        <v>117.61000000000004</v>
      </c>
    </row>
    <row r="39" spans="1:12" ht="18.75" x14ac:dyDescent="0.3">
      <c r="A39" s="462" t="s">
        <v>18</v>
      </c>
      <c r="B39" s="462"/>
      <c r="C39" s="462"/>
      <c r="D39" s="462"/>
      <c r="E39" s="462"/>
      <c r="F39" s="462"/>
      <c r="G39" s="462"/>
      <c r="H39" s="462"/>
      <c r="I39" s="462"/>
      <c r="J39" s="394"/>
    </row>
    <row r="40" spans="1:12" ht="18.75" x14ac:dyDescent="0.3">
      <c r="A40" s="462" t="s">
        <v>19</v>
      </c>
      <c r="B40" s="462"/>
      <c r="C40" s="462"/>
      <c r="D40" s="462"/>
      <c r="E40" s="462"/>
      <c r="F40" s="462"/>
      <c r="G40" s="462"/>
      <c r="H40" s="462"/>
      <c r="I40" s="462"/>
      <c r="J40" s="394"/>
    </row>
    <row r="41" spans="1:12" ht="18.75" x14ac:dyDescent="0.3">
      <c r="A41" s="243">
        <v>4.2300000000000004</v>
      </c>
      <c r="B41" s="243">
        <v>4.96</v>
      </c>
      <c r="C41" s="243">
        <v>38.700000000000003</v>
      </c>
      <c r="D41" s="243">
        <v>228.9</v>
      </c>
      <c r="E41" s="242" t="str">
        <f>"1/50"</f>
        <v>1/50</v>
      </c>
      <c r="F41" s="242" t="s">
        <v>706</v>
      </c>
      <c r="G41" s="211" t="str">
        <f>IFERROR(VLOOKUP(F41,[1]Реестр!A:K,2,0),"")</f>
        <v/>
      </c>
      <c r="H41" s="210">
        <v>30</v>
      </c>
      <c r="I41" s="207">
        <v>38.369999999999997</v>
      </c>
      <c r="J41" s="394" t="s">
        <v>20</v>
      </c>
    </row>
    <row r="42" spans="1:12" ht="18.75" x14ac:dyDescent="0.3">
      <c r="A42" s="243">
        <v>13.79</v>
      </c>
      <c r="B42" s="243">
        <v>14.6</v>
      </c>
      <c r="C42" s="243">
        <v>23.4</v>
      </c>
      <c r="D42" s="243">
        <v>266.7</v>
      </c>
      <c r="E42" s="242" t="str">
        <f>"4/56"</f>
        <v>4/56</v>
      </c>
      <c r="F42" s="242" t="s">
        <v>705</v>
      </c>
      <c r="G42" s="211"/>
      <c r="H42" s="210">
        <v>150</v>
      </c>
      <c r="I42" s="207">
        <v>75.42</v>
      </c>
      <c r="J42" s="394" t="s">
        <v>537</v>
      </c>
      <c r="K42" s="237"/>
      <c r="L42" s="237"/>
    </row>
    <row r="43" spans="1:12" ht="18.75" x14ac:dyDescent="0.3">
      <c r="A43" s="243">
        <v>0.18</v>
      </c>
      <c r="B43" s="243">
        <v>0.04</v>
      </c>
      <c r="C43" s="243">
        <v>13.75</v>
      </c>
      <c r="D43" s="243">
        <v>53.136642799999997</v>
      </c>
      <c r="E43" s="242" t="str">
        <f>"11/56"</f>
        <v>11/56</v>
      </c>
      <c r="F43" s="242" t="s">
        <v>499</v>
      </c>
      <c r="G43" s="211"/>
      <c r="H43" s="210">
        <v>200</v>
      </c>
      <c r="I43" s="207">
        <v>8.15</v>
      </c>
      <c r="J43" s="394" t="s">
        <v>477</v>
      </c>
      <c r="K43" s="237"/>
      <c r="L43" s="237"/>
    </row>
    <row r="44" spans="1:12" ht="18.75" x14ac:dyDescent="0.3">
      <c r="A44" s="264">
        <v>1.3</v>
      </c>
      <c r="B44" s="264">
        <v>0.2</v>
      </c>
      <c r="C44" s="264">
        <v>6.7</v>
      </c>
      <c r="D44" s="264">
        <v>39</v>
      </c>
      <c r="E44" s="381" t="str">
        <f>"-"</f>
        <v>-</v>
      </c>
      <c r="F44" s="381" t="s">
        <v>707</v>
      </c>
      <c r="G44" s="211"/>
      <c r="H44" s="206">
        <v>20</v>
      </c>
      <c r="I44" s="207">
        <v>1.8</v>
      </c>
      <c r="J44" s="394" t="s">
        <v>479</v>
      </c>
      <c r="K44" s="237"/>
      <c r="L44" s="237"/>
    </row>
    <row r="45" spans="1:12" ht="18.75" x14ac:dyDescent="0.3">
      <c r="A45" s="264">
        <v>0.52</v>
      </c>
      <c r="B45" s="264">
        <v>0.52</v>
      </c>
      <c r="C45" s="264">
        <v>15.08</v>
      </c>
      <c r="D45" s="264">
        <v>63.283999999999985</v>
      </c>
      <c r="E45" s="381" t="str">
        <f>"-"</f>
        <v>-</v>
      </c>
      <c r="F45" s="381" t="s">
        <v>708</v>
      </c>
      <c r="G45" s="211"/>
      <c r="H45" s="206">
        <v>130</v>
      </c>
      <c r="I45" s="207">
        <v>25.78</v>
      </c>
      <c r="J45" s="394" t="s">
        <v>475</v>
      </c>
      <c r="K45" s="238"/>
      <c r="L45" s="237"/>
    </row>
    <row r="46" spans="1:12" ht="18.75" x14ac:dyDescent="0.3">
      <c r="A46" s="465" t="s">
        <v>25</v>
      </c>
      <c r="B46" s="466"/>
      <c r="C46" s="466"/>
      <c r="D46" s="466"/>
      <c r="E46" s="466"/>
      <c r="F46" s="466"/>
      <c r="G46" s="466"/>
      <c r="H46" s="466"/>
      <c r="I46" s="467"/>
      <c r="J46" s="394"/>
    </row>
    <row r="47" spans="1:12" s="234" customFormat="1" ht="30" x14ac:dyDescent="0.25">
      <c r="A47" s="383">
        <v>1.33</v>
      </c>
      <c r="B47" s="383">
        <v>5.12</v>
      </c>
      <c r="C47" s="383">
        <v>4.0999999999999996</v>
      </c>
      <c r="D47" s="383">
        <v>73.52</v>
      </c>
      <c r="E47" s="382" t="s">
        <v>709</v>
      </c>
      <c r="F47" s="242" t="s">
        <v>710</v>
      </c>
      <c r="G47" s="211" t="str">
        <f>IFERROR(VLOOKUP(F47,[2]Реестр!A:K,2,0),"")</f>
        <v/>
      </c>
      <c r="H47" s="210">
        <v>80</v>
      </c>
      <c r="I47" s="230">
        <v>44.94</v>
      </c>
      <c r="J47" s="239" t="s">
        <v>538</v>
      </c>
    </row>
    <row r="48" spans="1:12" ht="18.75" x14ac:dyDescent="0.3">
      <c r="A48" s="263">
        <v>4.1100000000000003</v>
      </c>
      <c r="B48" s="263">
        <v>4.7699999999999996</v>
      </c>
      <c r="C48" s="263">
        <v>19.5</v>
      </c>
      <c r="D48" s="263">
        <v>143.13</v>
      </c>
      <c r="E48" s="242" t="s">
        <v>711</v>
      </c>
      <c r="F48" s="242" t="s">
        <v>716</v>
      </c>
      <c r="G48" s="211" t="str">
        <f>IFERROR(VLOOKUP(F48,[2]Реестр!A:K,2,0),"")</f>
        <v/>
      </c>
      <c r="H48" s="206">
        <v>250</v>
      </c>
      <c r="I48" s="207">
        <v>50</v>
      </c>
      <c r="J48" s="394" t="s">
        <v>478</v>
      </c>
    </row>
    <row r="49" spans="1:11" ht="18.75" x14ac:dyDescent="0.3">
      <c r="A49" s="263">
        <v>15.55</v>
      </c>
      <c r="B49" s="263">
        <v>15.4</v>
      </c>
      <c r="C49" s="263">
        <v>57.1</v>
      </c>
      <c r="D49" s="263">
        <v>364.2</v>
      </c>
      <c r="E49" s="242" t="s">
        <v>712</v>
      </c>
      <c r="F49" s="242" t="s">
        <v>713</v>
      </c>
      <c r="G49" s="211" t="str">
        <f>IFERROR(VLOOKUP(F49,[2]Реестр!A:K,2,0),"")</f>
        <v/>
      </c>
      <c r="H49" s="206">
        <v>200</v>
      </c>
      <c r="I49" s="206">
        <v>102.59</v>
      </c>
      <c r="J49" s="394" t="s">
        <v>537</v>
      </c>
    </row>
    <row r="50" spans="1:11" ht="18.75" x14ac:dyDescent="0.3">
      <c r="A50" s="263">
        <v>0.18</v>
      </c>
      <c r="B50" s="263">
        <v>0.05</v>
      </c>
      <c r="C50" s="263">
        <v>0.32</v>
      </c>
      <c r="D50" s="263">
        <v>37.582527999999996</v>
      </c>
      <c r="E50" s="242" t="s">
        <v>714</v>
      </c>
      <c r="F50" s="242" t="s">
        <v>328</v>
      </c>
      <c r="G50" s="211">
        <f>IFERROR(VLOOKUP(F50,[2]Реестр!A:K,2,0),"")</f>
        <v>200</v>
      </c>
      <c r="H50" s="206">
        <v>200</v>
      </c>
      <c r="I50" s="207">
        <v>19.54</v>
      </c>
      <c r="J50" s="394" t="s">
        <v>29</v>
      </c>
    </row>
    <row r="51" spans="1:11" ht="18.75" x14ac:dyDescent="0.3">
      <c r="A51" s="264">
        <v>3.3</v>
      </c>
      <c r="B51" s="264">
        <v>0.3</v>
      </c>
      <c r="C51" s="264">
        <v>23.4</v>
      </c>
      <c r="D51" s="264">
        <v>112</v>
      </c>
      <c r="E51" s="242" t="s">
        <v>471</v>
      </c>
      <c r="F51" s="242" t="s">
        <v>715</v>
      </c>
      <c r="G51" s="211" t="str">
        <f>IFERROR(VLOOKUP(F51,[2]Реестр!A:K,2,0),"")</f>
        <v/>
      </c>
      <c r="H51" s="206">
        <v>50</v>
      </c>
      <c r="I51" s="207">
        <v>4.5</v>
      </c>
      <c r="J51" s="394" t="s">
        <v>479</v>
      </c>
    </row>
    <row r="52" spans="1:11" ht="18.75" x14ac:dyDescent="0.3">
      <c r="A52" s="241">
        <v>2</v>
      </c>
      <c r="B52" s="241">
        <v>0.4</v>
      </c>
      <c r="C52" s="241">
        <v>10</v>
      </c>
      <c r="D52" s="241">
        <v>58</v>
      </c>
      <c r="E52" s="381" t="s">
        <v>471</v>
      </c>
      <c r="F52" s="381" t="s">
        <v>707</v>
      </c>
      <c r="G52" s="211" t="str">
        <f>IFERROR(VLOOKUP(F52,[2]Реестр!A:K,2,0),"")</f>
        <v/>
      </c>
      <c r="H52" s="206">
        <v>30</v>
      </c>
      <c r="I52" s="203">
        <v>2.7</v>
      </c>
      <c r="J52" s="394" t="s">
        <v>539</v>
      </c>
    </row>
    <row r="53" spans="1:11" ht="18.75" x14ac:dyDescent="0.3">
      <c r="A53" s="196"/>
      <c r="B53" s="196"/>
      <c r="C53" s="196"/>
      <c r="D53" s="196"/>
      <c r="E53" s="214"/>
      <c r="F53" s="204"/>
      <c r="G53" s="199"/>
      <c r="H53" s="200"/>
      <c r="I53" s="203"/>
      <c r="J53" s="394" t="s">
        <v>540</v>
      </c>
    </row>
    <row r="54" spans="1:11" ht="18.75" x14ac:dyDescent="0.3">
      <c r="A54" s="464" t="s">
        <v>16</v>
      </c>
      <c r="B54" s="464"/>
      <c r="C54" s="464"/>
      <c r="D54" s="464"/>
      <c r="E54" s="464"/>
      <c r="F54" s="464"/>
      <c r="G54" s="206"/>
      <c r="H54" s="206"/>
      <c r="I54" s="207">
        <f>SUM(I41:I45,I47:I53)</f>
        <v>373.78999999999996</v>
      </c>
      <c r="J54" s="206">
        <v>212.99</v>
      </c>
      <c r="K54" s="208">
        <f>I54-J54</f>
        <v>160.79999999999995</v>
      </c>
    </row>
    <row r="55" spans="1:11" ht="18.75" x14ac:dyDescent="0.3">
      <c r="A55" s="465" t="s">
        <v>33</v>
      </c>
      <c r="B55" s="466"/>
      <c r="C55" s="466"/>
      <c r="D55" s="466"/>
      <c r="E55" s="466"/>
      <c r="F55" s="466"/>
      <c r="G55" s="466"/>
      <c r="H55" s="466"/>
      <c r="I55" s="467"/>
      <c r="J55" s="394"/>
    </row>
    <row r="56" spans="1:11" ht="18.75" x14ac:dyDescent="0.3">
      <c r="A56" s="465" t="s">
        <v>19</v>
      </c>
      <c r="B56" s="466"/>
      <c r="C56" s="466"/>
      <c r="D56" s="466"/>
      <c r="E56" s="466"/>
      <c r="F56" s="466"/>
      <c r="G56" s="466"/>
      <c r="H56" s="466"/>
      <c r="I56" s="467"/>
      <c r="J56" s="394"/>
    </row>
    <row r="57" spans="1:11" ht="18.75" x14ac:dyDescent="0.3">
      <c r="A57" s="243">
        <v>3.76</v>
      </c>
      <c r="B57" s="243">
        <v>3.05</v>
      </c>
      <c r="C57" s="243">
        <v>15.15</v>
      </c>
      <c r="D57" s="243">
        <v>112.3</v>
      </c>
      <c r="E57" s="242" t="str">
        <f>"1/50"</f>
        <v>1/50</v>
      </c>
      <c r="F57" s="242" t="s">
        <v>718</v>
      </c>
      <c r="G57" s="211" t="str">
        <f>IFERROR(VLOOKUP(F57,[1]Реестр!A:K,2,0),"")</f>
        <v/>
      </c>
      <c r="H57" s="210">
        <v>30</v>
      </c>
      <c r="I57" s="207">
        <v>38.369999999999997</v>
      </c>
      <c r="J57" s="394" t="s">
        <v>20</v>
      </c>
    </row>
    <row r="58" spans="1:11" ht="18.75" x14ac:dyDescent="0.3">
      <c r="A58" s="243">
        <v>16.39</v>
      </c>
      <c r="B58" s="243">
        <v>19.7</v>
      </c>
      <c r="C58" s="243">
        <v>41.3</v>
      </c>
      <c r="D58" s="243">
        <v>392.3</v>
      </c>
      <c r="E58" s="242" t="str">
        <f>"4/56"</f>
        <v>4/56</v>
      </c>
      <c r="F58" s="242" t="s">
        <v>705</v>
      </c>
      <c r="G58" s="211"/>
      <c r="H58" s="210">
        <v>200</v>
      </c>
      <c r="I58" s="207">
        <v>101.94</v>
      </c>
      <c r="J58" s="394" t="s">
        <v>537</v>
      </c>
    </row>
    <row r="59" spans="1:11" ht="18.75" x14ac:dyDescent="0.3">
      <c r="A59" s="243">
        <v>0.18</v>
      </c>
      <c r="B59" s="243">
        <v>0.04</v>
      </c>
      <c r="C59" s="243">
        <v>13.75</v>
      </c>
      <c r="D59" s="243">
        <v>53.136642799999997</v>
      </c>
      <c r="E59" s="242" t="str">
        <f>"11/56"</f>
        <v>11/56</v>
      </c>
      <c r="F59" s="242" t="s">
        <v>499</v>
      </c>
      <c r="G59" s="211"/>
      <c r="H59" s="210">
        <v>200</v>
      </c>
      <c r="I59" s="207">
        <v>8.15</v>
      </c>
      <c r="J59" s="394" t="s">
        <v>477</v>
      </c>
    </row>
    <row r="60" spans="1:11" ht="18.75" x14ac:dyDescent="0.3">
      <c r="A60" s="264">
        <v>2</v>
      </c>
      <c r="B60" s="264">
        <v>0.4</v>
      </c>
      <c r="C60" s="264">
        <v>10</v>
      </c>
      <c r="D60" s="264">
        <v>58</v>
      </c>
      <c r="E60" s="381" t="str">
        <f>"-"</f>
        <v>-</v>
      </c>
      <c r="F60" s="381" t="s">
        <v>707</v>
      </c>
      <c r="G60" s="211"/>
      <c r="H60" s="206">
        <v>30</v>
      </c>
      <c r="I60" s="207">
        <v>2.7</v>
      </c>
      <c r="J60" s="394" t="s">
        <v>541</v>
      </c>
      <c r="K60" s="237"/>
    </row>
    <row r="61" spans="1:11" ht="18.75" x14ac:dyDescent="0.3">
      <c r="A61" s="264">
        <v>0.52</v>
      </c>
      <c r="B61" s="264">
        <v>0.52</v>
      </c>
      <c r="C61" s="264">
        <v>15.08</v>
      </c>
      <c r="D61" s="264">
        <v>63.283999999999985</v>
      </c>
      <c r="E61" s="381" t="str">
        <f>"-"</f>
        <v>-</v>
      </c>
      <c r="F61" s="381" t="s">
        <v>708</v>
      </c>
      <c r="G61" s="211"/>
      <c r="H61" s="206">
        <v>130</v>
      </c>
      <c r="I61" s="207">
        <v>25.78</v>
      </c>
      <c r="J61" s="394" t="s">
        <v>475</v>
      </c>
      <c r="K61" s="237"/>
    </row>
    <row r="62" spans="1:11" ht="18.75" x14ac:dyDescent="0.3">
      <c r="A62" s="465" t="s">
        <v>25</v>
      </c>
      <c r="B62" s="466"/>
      <c r="C62" s="466"/>
      <c r="D62" s="466"/>
      <c r="E62" s="466"/>
      <c r="F62" s="466"/>
      <c r="G62" s="466"/>
      <c r="H62" s="466"/>
      <c r="I62" s="467"/>
      <c r="J62" s="201" t="str">
        <f>IFERROR(VLOOKUP(O62,Реестр!#REF!,3,0)*Q62/P62,"")</f>
        <v/>
      </c>
      <c r="K62" s="237"/>
    </row>
    <row r="63" spans="1:11" s="234" customFormat="1" ht="30" x14ac:dyDescent="0.25">
      <c r="A63" s="383">
        <v>2.2999999999999998</v>
      </c>
      <c r="B63" s="383">
        <v>6.01</v>
      </c>
      <c r="C63" s="383">
        <v>4.01</v>
      </c>
      <c r="D63" s="383">
        <v>72.147796</v>
      </c>
      <c r="E63" s="242" t="s">
        <v>709</v>
      </c>
      <c r="F63" s="242" t="s">
        <v>710</v>
      </c>
      <c r="G63" s="211" t="str">
        <f>IFERROR(VLOOKUP(F63,[2]Реестр!A:K,2,0),"")</f>
        <v/>
      </c>
      <c r="H63" s="210">
        <v>100</v>
      </c>
      <c r="I63" s="230">
        <v>56.17</v>
      </c>
      <c r="J63" s="239" t="s">
        <v>538</v>
      </c>
      <c r="K63" s="240"/>
    </row>
    <row r="64" spans="1:11" ht="18.75" x14ac:dyDescent="0.3">
      <c r="A64" s="263">
        <v>4.1100000000000003</v>
      </c>
      <c r="B64" s="263">
        <v>4.7699999999999996</v>
      </c>
      <c r="C64" s="263">
        <v>26.5</v>
      </c>
      <c r="D64" s="263">
        <v>213.5</v>
      </c>
      <c r="E64" s="242" t="s">
        <v>711</v>
      </c>
      <c r="F64" s="242" t="s">
        <v>716</v>
      </c>
      <c r="G64" s="211" t="str">
        <f>IFERROR(VLOOKUP(F64,[2]Реестр!A:K,2,0),"")</f>
        <v/>
      </c>
      <c r="H64" s="206">
        <v>250</v>
      </c>
      <c r="I64" s="207">
        <v>50</v>
      </c>
      <c r="J64" s="394" t="s">
        <v>478</v>
      </c>
      <c r="K64" s="237"/>
    </row>
    <row r="65" spans="1:12" ht="18.75" x14ac:dyDescent="0.3">
      <c r="A65" s="348">
        <v>17.5</v>
      </c>
      <c r="B65" s="348">
        <v>15.6</v>
      </c>
      <c r="C65" s="348">
        <v>42.3</v>
      </c>
      <c r="D65" s="348">
        <v>265.7</v>
      </c>
      <c r="E65" s="242" t="s">
        <v>712</v>
      </c>
      <c r="F65" s="242" t="s">
        <v>713</v>
      </c>
      <c r="G65" s="211" t="str">
        <f>IFERROR(VLOOKUP(F65,[2]Реестр!A:K,2,0),"")</f>
        <v/>
      </c>
      <c r="H65" s="206">
        <v>250</v>
      </c>
      <c r="I65" s="206">
        <v>130.94</v>
      </c>
      <c r="J65" s="394" t="s">
        <v>537</v>
      </c>
      <c r="K65" s="237"/>
    </row>
    <row r="66" spans="1:12" ht="18.75" x14ac:dyDescent="0.3">
      <c r="A66" s="263">
        <v>3.94</v>
      </c>
      <c r="B66" s="263">
        <v>5.1100000000000003</v>
      </c>
      <c r="C66" s="263">
        <v>27.5</v>
      </c>
      <c r="D66" s="263">
        <v>170.19544859999999</v>
      </c>
      <c r="E66" s="242" t="s">
        <v>714</v>
      </c>
      <c r="F66" s="386" t="s">
        <v>328</v>
      </c>
      <c r="G66" s="211">
        <f>IFERROR(VLOOKUP(F66,[2]Реестр!A:K,2,0),"")</f>
        <v>200</v>
      </c>
      <c r="H66" s="206">
        <v>200</v>
      </c>
      <c r="I66" s="207">
        <v>19.54</v>
      </c>
      <c r="J66" s="394" t="s">
        <v>29</v>
      </c>
      <c r="K66" s="237"/>
    </row>
    <row r="67" spans="1:12" ht="18.75" x14ac:dyDescent="0.3">
      <c r="A67" s="264">
        <v>0.14000000000000001</v>
      </c>
      <c r="B67" s="264">
        <v>0.1</v>
      </c>
      <c r="C67" s="264">
        <v>1.5</v>
      </c>
      <c r="D67" s="264">
        <v>83.962620000000015</v>
      </c>
      <c r="E67" s="242" t="s">
        <v>471</v>
      </c>
      <c r="F67" s="242" t="s">
        <v>715</v>
      </c>
      <c r="G67" s="211" t="str">
        <f>IFERROR(VLOOKUP(F67,[2]Реестр!A:K,2,0),"")</f>
        <v/>
      </c>
      <c r="H67" s="206">
        <v>50</v>
      </c>
      <c r="I67" s="207">
        <v>4.5</v>
      </c>
      <c r="J67" s="394" t="s">
        <v>479</v>
      </c>
      <c r="K67" s="208"/>
    </row>
    <row r="68" spans="1:12" ht="18.75" x14ac:dyDescent="0.3">
      <c r="A68" s="264">
        <v>3.3</v>
      </c>
      <c r="B68" s="264">
        <v>0.3</v>
      </c>
      <c r="C68" s="264">
        <v>23.4</v>
      </c>
      <c r="D68" s="264">
        <v>112</v>
      </c>
      <c r="E68" s="381" t="s">
        <v>471</v>
      </c>
      <c r="F68" s="381" t="s">
        <v>707</v>
      </c>
      <c r="G68" s="211" t="str">
        <f>IFERROR(VLOOKUP(F68,[2]Реестр!A:K,2,0),"")</f>
        <v/>
      </c>
      <c r="H68" s="206">
        <v>50</v>
      </c>
      <c r="I68" s="207">
        <v>4.25</v>
      </c>
      <c r="J68" s="394" t="s">
        <v>23</v>
      </c>
    </row>
    <row r="69" spans="1:12" ht="18.75" x14ac:dyDescent="0.3">
      <c r="A69" s="209"/>
      <c r="B69" s="209"/>
      <c r="C69" s="209"/>
      <c r="D69" s="209"/>
      <c r="E69" s="218"/>
      <c r="F69" s="217"/>
      <c r="G69" s="211"/>
      <c r="H69" s="206"/>
      <c r="I69" s="207"/>
      <c r="J69" s="394" t="s">
        <v>540</v>
      </c>
    </row>
    <row r="70" spans="1:12" ht="18" customHeight="1" x14ac:dyDescent="0.3">
      <c r="A70" s="464" t="s">
        <v>16</v>
      </c>
      <c r="B70" s="464"/>
      <c r="C70" s="464"/>
      <c r="D70" s="464"/>
      <c r="E70" s="464"/>
      <c r="F70" s="464"/>
      <c r="G70" s="206"/>
      <c r="H70" s="206"/>
      <c r="I70" s="207">
        <f>SUM(I57:I61)+SUM(I63:I69)</f>
        <v>442.34000000000003</v>
      </c>
      <c r="J70" s="201">
        <v>246.31</v>
      </c>
      <c r="K70" s="208">
        <f>J70-I70</f>
        <v>-196.03000000000003</v>
      </c>
    </row>
    <row r="71" spans="1:12" ht="18.75" x14ac:dyDescent="0.3">
      <c r="A71" s="465" t="s">
        <v>34</v>
      </c>
      <c r="B71" s="466"/>
      <c r="C71" s="466"/>
      <c r="D71" s="466"/>
      <c r="E71" s="466"/>
      <c r="F71" s="466"/>
      <c r="G71" s="466"/>
      <c r="H71" s="466"/>
      <c r="I71" s="467"/>
      <c r="J71" s="206"/>
      <c r="K71" s="208"/>
    </row>
    <row r="72" spans="1:12" ht="18.75" x14ac:dyDescent="0.25">
      <c r="A72" s="263">
        <v>0.48</v>
      </c>
      <c r="B72" s="263">
        <v>2.37</v>
      </c>
      <c r="C72" s="263">
        <v>3.09</v>
      </c>
      <c r="D72" s="263">
        <v>36.64</v>
      </c>
      <c r="E72" s="384" t="str">
        <f>"7/26"</f>
        <v>7/26</v>
      </c>
      <c r="F72" s="385" t="s">
        <v>717</v>
      </c>
      <c r="G72" s="211" t="str">
        <f>IFERROR(VLOOKUP(F72,[1]Реестр!A:K,2,0),"")</f>
        <v/>
      </c>
      <c r="H72" s="210">
        <v>30</v>
      </c>
      <c r="I72" s="230">
        <v>19.260000000000002</v>
      </c>
    </row>
    <row r="73" spans="1:12" ht="18.75" x14ac:dyDescent="0.3">
      <c r="A73" s="348">
        <v>19.440000000000001</v>
      </c>
      <c r="B73" s="348">
        <v>19.420000000000002</v>
      </c>
      <c r="C73" s="348">
        <v>57.63</v>
      </c>
      <c r="D73" s="348">
        <v>436.2</v>
      </c>
      <c r="E73" s="242" t="s">
        <v>712</v>
      </c>
      <c r="F73" s="242" t="s">
        <v>713</v>
      </c>
      <c r="G73" s="211" t="str">
        <f>IFERROR(VLOOKUP(F73,[2]Реестр!A:K,2,0),"")</f>
        <v/>
      </c>
      <c r="H73" s="206">
        <v>250</v>
      </c>
      <c r="I73" s="206">
        <v>130.94</v>
      </c>
    </row>
    <row r="74" spans="1:12" ht="18.75" x14ac:dyDescent="0.3">
      <c r="A74" s="263">
        <v>0.18</v>
      </c>
      <c r="B74" s="263">
        <v>0.05</v>
      </c>
      <c r="C74" s="263">
        <v>0.32</v>
      </c>
      <c r="D74" s="263">
        <v>37.582527999999996</v>
      </c>
      <c r="E74" s="242" t="s">
        <v>714</v>
      </c>
      <c r="F74" s="386" t="s">
        <v>328</v>
      </c>
      <c r="G74" s="211">
        <f>IFERROR(VLOOKUP(F74,[2]Реестр!A:K,2,0),"")</f>
        <v>200</v>
      </c>
      <c r="H74" s="206">
        <v>200</v>
      </c>
      <c r="I74" s="207">
        <v>19.54</v>
      </c>
    </row>
    <row r="75" spans="1:12" ht="18.75" x14ac:dyDescent="0.3">
      <c r="A75" s="264">
        <v>3.3</v>
      </c>
      <c r="B75" s="264">
        <v>0.3</v>
      </c>
      <c r="C75" s="264">
        <v>23.4</v>
      </c>
      <c r="D75" s="264">
        <v>112</v>
      </c>
      <c r="E75" s="242" t="str">
        <f>"-"</f>
        <v>-</v>
      </c>
      <c r="F75" s="387" t="s">
        <v>715</v>
      </c>
      <c r="G75" s="211" t="str">
        <f>IFERROR(VLOOKUP(F75,[2]Реестр!A:K,2,0),"")</f>
        <v/>
      </c>
      <c r="H75" s="206">
        <v>50</v>
      </c>
      <c r="I75" s="207">
        <v>4.5</v>
      </c>
    </row>
    <row r="76" spans="1:12" ht="18.75" x14ac:dyDescent="0.3">
      <c r="A76" s="264">
        <v>2</v>
      </c>
      <c r="B76" s="264">
        <v>0.4</v>
      </c>
      <c r="C76" s="264">
        <v>10</v>
      </c>
      <c r="D76" s="264">
        <v>58</v>
      </c>
      <c r="E76" s="381" t="str">
        <f>"-"</f>
        <v>-</v>
      </c>
      <c r="F76" s="381" t="s">
        <v>707</v>
      </c>
      <c r="G76" s="211" t="str">
        <f>IFERROR(VLOOKUP(F76,[2]Реестр!A:K,2,0),"")</f>
        <v/>
      </c>
      <c r="H76" s="206">
        <v>30</v>
      </c>
      <c r="I76" s="207">
        <v>2.7</v>
      </c>
    </row>
    <row r="77" spans="1:12" ht="18.75" x14ac:dyDescent="0.3">
      <c r="A77" s="196"/>
      <c r="B77" s="196"/>
      <c r="C77" s="196"/>
      <c r="D77" s="196"/>
      <c r="E77" s="197"/>
      <c r="F77" s="204"/>
      <c r="G77" s="199"/>
      <c r="H77" s="200"/>
      <c r="I77" s="203"/>
    </row>
    <row r="78" spans="1:12" ht="18.75" x14ac:dyDescent="0.3">
      <c r="A78" s="453" t="s">
        <v>16</v>
      </c>
      <c r="B78" s="454"/>
      <c r="C78" s="454"/>
      <c r="D78" s="454"/>
      <c r="E78" s="454"/>
      <c r="F78" s="455"/>
      <c r="G78" s="205"/>
      <c r="H78" s="206"/>
      <c r="I78" s="207">
        <f>SUM(I72:I77)</f>
        <v>176.93999999999997</v>
      </c>
      <c r="J78" s="215">
        <v>98.52</v>
      </c>
      <c r="L78" s="208">
        <f>J78-I78</f>
        <v>-78.419999999999973</v>
      </c>
    </row>
    <row r="79" spans="1:12" ht="18.75" x14ac:dyDescent="0.25">
      <c r="A79" s="477" t="s">
        <v>35</v>
      </c>
      <c r="B79" s="478"/>
      <c r="C79" s="478"/>
      <c r="D79" s="478"/>
      <c r="E79" s="478"/>
      <c r="F79" s="478"/>
      <c r="G79" s="478"/>
      <c r="H79" s="478"/>
      <c r="I79" s="479"/>
    </row>
    <row r="80" spans="1:12" ht="18.75" x14ac:dyDescent="0.3">
      <c r="A80" s="219">
        <v>7.7</v>
      </c>
      <c r="B80" s="219">
        <v>7.42</v>
      </c>
      <c r="C80" s="219">
        <v>32.090000000000003</v>
      </c>
      <c r="D80" s="219">
        <v>225.88</v>
      </c>
      <c r="E80" s="416" t="s">
        <v>408</v>
      </c>
      <c r="F80" s="406" t="s">
        <v>529</v>
      </c>
      <c r="G80" s="211">
        <f>IFERROR(VLOOKUP(F80,[2]Реестр!A:K,2,0),"")</f>
        <v>100</v>
      </c>
      <c r="H80" s="206">
        <v>80</v>
      </c>
      <c r="I80" s="207">
        <v>50</v>
      </c>
      <c r="K80" s="208"/>
    </row>
    <row r="81" spans="1:12" ht="18.75" x14ac:dyDescent="0.3">
      <c r="A81" s="453" t="s">
        <v>16</v>
      </c>
      <c r="B81" s="454"/>
      <c r="C81" s="454"/>
      <c r="D81" s="454"/>
      <c r="E81" s="454"/>
      <c r="F81" s="455"/>
      <c r="G81" s="205"/>
      <c r="H81" s="206"/>
      <c r="I81" s="207">
        <f>I80</f>
        <v>50</v>
      </c>
      <c r="J81" s="215">
        <v>29</v>
      </c>
    </row>
    <row r="82" spans="1:12" ht="18.75" x14ac:dyDescent="0.3">
      <c r="A82" s="465" t="s">
        <v>36</v>
      </c>
      <c r="B82" s="466"/>
      <c r="C82" s="466"/>
      <c r="D82" s="466"/>
      <c r="E82" s="466"/>
      <c r="F82" s="466"/>
      <c r="G82" s="466"/>
      <c r="H82" s="466"/>
      <c r="I82" s="467"/>
    </row>
    <row r="83" spans="1:12" ht="18.75" x14ac:dyDescent="0.3">
      <c r="A83" s="263">
        <v>4.1100000000000003</v>
      </c>
      <c r="B83" s="263">
        <v>4.7699999999999996</v>
      </c>
      <c r="C83" s="263">
        <v>26.5</v>
      </c>
      <c r="D83" s="263">
        <v>213.5</v>
      </c>
      <c r="E83" s="242" t="s">
        <v>711</v>
      </c>
      <c r="F83" s="242" t="s">
        <v>716</v>
      </c>
      <c r="G83" s="211" t="str">
        <f>IFERROR(VLOOKUP(F83,[2]Реестр!A:K,2,0),"")</f>
        <v/>
      </c>
      <c r="H83" s="206">
        <v>250</v>
      </c>
      <c r="I83" s="207">
        <v>50</v>
      </c>
    </row>
    <row r="84" spans="1:12" ht="18.75" x14ac:dyDescent="0.3">
      <c r="A84" s="453" t="s">
        <v>16</v>
      </c>
      <c r="B84" s="454"/>
      <c r="C84" s="454"/>
      <c r="D84" s="454"/>
      <c r="E84" s="454"/>
      <c r="F84" s="455"/>
      <c r="G84" s="205"/>
      <c r="H84" s="206"/>
      <c r="I84" s="207">
        <f>SUM(I83:I83)</f>
        <v>50</v>
      </c>
      <c r="J84" s="215">
        <v>27</v>
      </c>
    </row>
    <row r="85" spans="1:12" ht="18.75" x14ac:dyDescent="0.3">
      <c r="A85" s="465" t="s">
        <v>503</v>
      </c>
      <c r="B85" s="466"/>
      <c r="C85" s="466"/>
      <c r="D85" s="466"/>
      <c r="E85" s="466"/>
      <c r="F85" s="466"/>
      <c r="G85" s="466"/>
      <c r="H85" s="466"/>
      <c r="I85" s="467"/>
    </row>
    <row r="86" spans="1:12" s="234" customFormat="1" ht="27" customHeight="1" x14ac:dyDescent="0.25">
      <c r="A86" s="383">
        <v>2.2999999999999998</v>
      </c>
      <c r="B86" s="383">
        <v>6.01</v>
      </c>
      <c r="C86" s="383">
        <v>4.01</v>
      </c>
      <c r="D86" s="383">
        <v>72.147796</v>
      </c>
      <c r="E86" s="242" t="s">
        <v>709</v>
      </c>
      <c r="F86" s="242" t="s">
        <v>710</v>
      </c>
      <c r="G86" s="211" t="str">
        <f>IFERROR(VLOOKUP(F86,[2]Реестр!A:K,2,0),"")</f>
        <v/>
      </c>
      <c r="H86" s="210">
        <v>100</v>
      </c>
      <c r="I86" s="230">
        <v>56.17</v>
      </c>
      <c r="J86" s="268"/>
    </row>
    <row r="87" spans="1:12" ht="18.75" x14ac:dyDescent="0.3">
      <c r="A87" s="263">
        <v>4.1100000000000003</v>
      </c>
      <c r="B87" s="263">
        <v>4.7699999999999996</v>
      </c>
      <c r="C87" s="263">
        <v>26.5</v>
      </c>
      <c r="D87" s="263">
        <v>213.5</v>
      </c>
      <c r="E87" s="242" t="s">
        <v>711</v>
      </c>
      <c r="F87" s="242" t="s">
        <v>716</v>
      </c>
      <c r="G87" s="211" t="str">
        <f>IFERROR(VLOOKUP(F87,[2]Реестр!A:K,2,0),"")</f>
        <v/>
      </c>
      <c r="H87" s="206">
        <v>250</v>
      </c>
      <c r="I87" s="207">
        <v>50</v>
      </c>
    </row>
    <row r="88" spans="1:12" ht="18.75" x14ac:dyDescent="0.3">
      <c r="A88" s="348">
        <v>17.5</v>
      </c>
      <c r="B88" s="348">
        <v>15.6</v>
      </c>
      <c r="C88" s="348">
        <v>42.3</v>
      </c>
      <c r="D88" s="348">
        <v>265.7</v>
      </c>
      <c r="E88" s="242" t="s">
        <v>712</v>
      </c>
      <c r="F88" s="242" t="s">
        <v>713</v>
      </c>
      <c r="G88" s="211" t="str">
        <f>IFERROR(VLOOKUP(F88,[2]Реестр!A:K,2,0),"")</f>
        <v/>
      </c>
      <c r="H88" s="206">
        <v>250</v>
      </c>
      <c r="I88" s="206">
        <v>130.94</v>
      </c>
    </row>
    <row r="89" spans="1:12" ht="18.75" x14ac:dyDescent="0.3">
      <c r="A89" s="263">
        <v>3.94</v>
      </c>
      <c r="B89" s="263">
        <v>5.1100000000000003</v>
      </c>
      <c r="C89" s="263">
        <v>27.5</v>
      </c>
      <c r="D89" s="263">
        <v>170.19544859999999</v>
      </c>
      <c r="E89" s="242" t="s">
        <v>714</v>
      </c>
      <c r="F89" s="386" t="s">
        <v>328</v>
      </c>
      <c r="G89" s="211">
        <f>IFERROR(VLOOKUP(F89,[2]Реестр!A:K,2,0),"")</f>
        <v>200</v>
      </c>
      <c r="H89" s="206">
        <v>200</v>
      </c>
      <c r="I89" s="207">
        <v>19.54</v>
      </c>
    </row>
    <row r="90" spans="1:12" ht="18.75" x14ac:dyDescent="0.3">
      <c r="A90" s="264">
        <v>0.14000000000000001</v>
      </c>
      <c r="B90" s="264">
        <v>0.1</v>
      </c>
      <c r="C90" s="264">
        <v>1.5</v>
      </c>
      <c r="D90" s="264">
        <v>83.962620000000015</v>
      </c>
      <c r="E90" s="242" t="s">
        <v>471</v>
      </c>
      <c r="F90" s="242" t="s">
        <v>715</v>
      </c>
      <c r="G90" s="211" t="str">
        <f>IFERROR(VLOOKUP(F90,[2]Реестр!A:K,2,0),"")</f>
        <v/>
      </c>
      <c r="H90" s="206">
        <v>50</v>
      </c>
      <c r="I90" s="207">
        <v>4.5</v>
      </c>
    </row>
    <row r="91" spans="1:12" ht="18.75" x14ac:dyDescent="0.3">
      <c r="A91" s="264">
        <v>3.3</v>
      </c>
      <c r="B91" s="264">
        <v>0.3</v>
      </c>
      <c r="C91" s="264">
        <v>23.4</v>
      </c>
      <c r="D91" s="264">
        <v>112</v>
      </c>
      <c r="E91" s="381" t="s">
        <v>471</v>
      </c>
      <c r="F91" s="381" t="s">
        <v>707</v>
      </c>
      <c r="G91" s="211" t="str">
        <f>IFERROR(VLOOKUP(F91,[2]Реестр!A:K,2,0),"")</f>
        <v/>
      </c>
      <c r="H91" s="206">
        <v>50</v>
      </c>
      <c r="I91" s="207">
        <v>4.25</v>
      </c>
    </row>
    <row r="92" spans="1:12" ht="18.75" x14ac:dyDescent="0.3">
      <c r="A92" s="196"/>
      <c r="B92" s="196"/>
      <c r="C92" s="196"/>
      <c r="D92" s="196"/>
      <c r="E92" s="214"/>
      <c r="F92" s="204"/>
      <c r="G92" s="199"/>
      <c r="H92" s="200"/>
      <c r="I92" s="203"/>
      <c r="K92" s="208"/>
    </row>
    <row r="93" spans="1:12" ht="18.75" x14ac:dyDescent="0.3">
      <c r="A93" s="464" t="s">
        <v>16</v>
      </c>
      <c r="B93" s="464"/>
      <c r="C93" s="464"/>
      <c r="D93" s="464"/>
      <c r="E93" s="464"/>
      <c r="F93" s="464"/>
      <c r="G93" s="205"/>
      <c r="H93" s="206"/>
      <c r="I93" s="207">
        <f>SUM(I86:I92)</f>
        <v>265.40000000000003</v>
      </c>
      <c r="J93" s="215">
        <v>147.79</v>
      </c>
      <c r="L93" s="208">
        <f>J93-I93</f>
        <v>-117.61000000000004</v>
      </c>
    </row>
    <row r="94" spans="1:12" ht="18.75" x14ac:dyDescent="0.3">
      <c r="A94" s="462" t="s">
        <v>544</v>
      </c>
      <c r="B94" s="462"/>
      <c r="C94" s="462"/>
      <c r="D94" s="462"/>
      <c r="E94" s="462"/>
      <c r="F94" s="462"/>
      <c r="G94" s="462"/>
      <c r="H94" s="462"/>
      <c r="I94" s="462"/>
      <c r="K94" s="208"/>
    </row>
    <row r="95" spans="1:12" ht="18.75" x14ac:dyDescent="0.25">
      <c r="A95" s="243">
        <v>3.76</v>
      </c>
      <c r="B95" s="243">
        <v>3.05</v>
      </c>
      <c r="C95" s="243">
        <v>13.8</v>
      </c>
      <c r="D95" s="243">
        <v>93.762559999999993</v>
      </c>
      <c r="E95" s="242" t="s">
        <v>732</v>
      </c>
      <c r="F95" s="387" t="s">
        <v>706</v>
      </c>
      <c r="G95" s="211" t="str">
        <f>IFERROR(VLOOKUP(F95,[1]Реестр!A:K,2,0),"")</f>
        <v/>
      </c>
      <c r="H95" s="243" t="s">
        <v>87</v>
      </c>
      <c r="I95" s="450">
        <v>149.52000000000001</v>
      </c>
      <c r="K95" s="208"/>
    </row>
    <row r="96" spans="1:12" ht="33.75" customHeight="1" x14ac:dyDescent="0.25">
      <c r="A96" s="243">
        <v>13.79</v>
      </c>
      <c r="B96" s="243">
        <v>20.23</v>
      </c>
      <c r="C96" s="243">
        <v>3.57</v>
      </c>
      <c r="D96" s="243">
        <v>251.02964924999998</v>
      </c>
      <c r="E96" s="242" t="s">
        <v>733</v>
      </c>
      <c r="F96" s="387" t="s">
        <v>705</v>
      </c>
      <c r="G96" s="211" t="str">
        <f>IFERROR(VLOOKUP(F96,[1]Реестр!A:K,2,0),"")</f>
        <v/>
      </c>
      <c r="H96" s="243" t="s">
        <v>147</v>
      </c>
      <c r="I96" s="451"/>
      <c r="K96" s="208"/>
    </row>
    <row r="97" spans="1:12" ht="18.75" x14ac:dyDescent="0.25">
      <c r="A97" s="243">
        <v>0.18</v>
      </c>
      <c r="B97" s="243">
        <v>0.04</v>
      </c>
      <c r="C97" s="243">
        <v>13.75</v>
      </c>
      <c r="D97" s="243">
        <v>53.136642799999997</v>
      </c>
      <c r="E97" s="242" t="s">
        <v>734</v>
      </c>
      <c r="F97" s="387" t="s">
        <v>632</v>
      </c>
      <c r="G97" s="211" t="str">
        <f>IFERROR(VLOOKUP(F97,[1]Реестр!A:K,2,0),"")</f>
        <v/>
      </c>
      <c r="H97" s="243" t="s">
        <v>118</v>
      </c>
      <c r="I97" s="451"/>
      <c r="K97" s="208"/>
    </row>
    <row r="98" spans="1:12" ht="18.75" x14ac:dyDescent="0.25">
      <c r="A98" s="241">
        <v>1.32</v>
      </c>
      <c r="B98" s="241">
        <v>0.24</v>
      </c>
      <c r="C98" s="241">
        <v>8.34</v>
      </c>
      <c r="D98" s="241">
        <v>38.676000000000002</v>
      </c>
      <c r="E98" s="381" t="str">
        <f>"-"</f>
        <v>-</v>
      </c>
      <c r="F98" s="381" t="s">
        <v>707</v>
      </c>
      <c r="G98" s="211" t="str">
        <f>IFERROR(VLOOKUP(F98,[1]Реестр!A:K,2,0),"")</f>
        <v/>
      </c>
      <c r="H98" s="264" t="str">
        <f>"20"</f>
        <v>20</v>
      </c>
      <c r="I98" s="451"/>
      <c r="K98" s="208"/>
    </row>
    <row r="99" spans="1:12" ht="18.75" x14ac:dyDescent="0.25">
      <c r="A99" s="241">
        <v>1.32</v>
      </c>
      <c r="B99" s="241">
        <v>0.24</v>
      </c>
      <c r="C99" s="241">
        <v>0</v>
      </c>
      <c r="D99" s="241">
        <v>38.676000000000002</v>
      </c>
      <c r="E99" s="381" t="s">
        <v>471</v>
      </c>
      <c r="F99" s="381" t="s">
        <v>708</v>
      </c>
      <c r="G99" s="211" t="str">
        <f>IFERROR(VLOOKUP(F99,[1]Реестр!A:K,2,0),"")</f>
        <v/>
      </c>
      <c r="H99" s="264" t="s">
        <v>735</v>
      </c>
      <c r="I99" s="452"/>
      <c r="K99" s="208"/>
    </row>
    <row r="100" spans="1:12" ht="18.75" x14ac:dyDescent="0.3">
      <c r="A100" s="464" t="s">
        <v>16</v>
      </c>
      <c r="B100" s="464"/>
      <c r="C100" s="464"/>
      <c r="D100" s="464"/>
      <c r="E100" s="464"/>
      <c r="F100" s="464"/>
      <c r="G100" s="205"/>
      <c r="H100" s="206"/>
      <c r="I100" s="207">
        <f>SUM(I95:I99)</f>
        <v>149.52000000000001</v>
      </c>
      <c r="K100" s="208"/>
    </row>
    <row r="101" spans="1:12" ht="18.75" x14ac:dyDescent="0.3">
      <c r="A101" s="462" t="s">
        <v>545</v>
      </c>
      <c r="B101" s="462"/>
      <c r="C101" s="462"/>
      <c r="D101" s="462"/>
      <c r="E101" s="462"/>
      <c r="F101" s="462"/>
      <c r="G101" s="462"/>
      <c r="H101" s="462"/>
      <c r="I101" s="462"/>
      <c r="J101" s="215">
        <v>85.2</v>
      </c>
      <c r="K101" s="208"/>
      <c r="L101" s="208">
        <f>J101-I101</f>
        <v>85.2</v>
      </c>
    </row>
    <row r="102" spans="1:12" ht="30" x14ac:dyDescent="0.25">
      <c r="A102" s="243">
        <v>17.96</v>
      </c>
      <c r="B102" s="243">
        <v>19.649999999999999</v>
      </c>
      <c r="C102" s="243">
        <v>1.04</v>
      </c>
      <c r="D102" s="243">
        <v>252.59813800000001</v>
      </c>
      <c r="E102" s="242" t="s">
        <v>740</v>
      </c>
      <c r="F102" s="242" t="s">
        <v>741</v>
      </c>
      <c r="G102" s="211" t="str">
        <f>IFERROR(VLOOKUP(F102,[1]Реестр!A:K,2,0),"")</f>
        <v>200</v>
      </c>
      <c r="H102" s="391">
        <v>150</v>
      </c>
      <c r="I102" s="450">
        <v>149.52000000000001</v>
      </c>
      <c r="K102" s="208"/>
    </row>
    <row r="103" spans="1:12" ht="18.75" customHeight="1" x14ac:dyDescent="0.25">
      <c r="A103" s="243">
        <v>0.18</v>
      </c>
      <c r="B103" s="243">
        <v>0.04</v>
      </c>
      <c r="C103" s="243">
        <v>13.75</v>
      </c>
      <c r="D103" s="243">
        <v>53.136642799999997</v>
      </c>
      <c r="E103" s="242" t="s">
        <v>742</v>
      </c>
      <c r="F103" s="242" t="s">
        <v>499</v>
      </c>
      <c r="G103" s="211" t="str">
        <f>IFERROR(VLOOKUP(F103,[1]Реестр!A:K,2,0),"")</f>
        <v>200</v>
      </c>
      <c r="H103" s="243" t="s">
        <v>118</v>
      </c>
      <c r="I103" s="451"/>
      <c r="K103" s="208"/>
    </row>
    <row r="104" spans="1:12" ht="18.75" x14ac:dyDescent="0.25">
      <c r="A104" s="241">
        <v>0.52</v>
      </c>
      <c r="B104" s="241">
        <v>0.52</v>
      </c>
      <c r="C104" s="241">
        <v>15.08</v>
      </c>
      <c r="D104" s="241">
        <v>63.283999999999985</v>
      </c>
      <c r="E104" s="242" t="s">
        <v>471</v>
      </c>
      <c r="F104" s="242" t="s">
        <v>708</v>
      </c>
      <c r="G104" s="211" t="str">
        <f>IFERROR(VLOOKUP(F104,[1]Реестр!A:K,2,0),"")</f>
        <v/>
      </c>
      <c r="H104" s="264" t="s">
        <v>735</v>
      </c>
      <c r="I104" s="451"/>
      <c r="K104" s="208"/>
    </row>
    <row r="105" spans="1:12" ht="18.75" x14ac:dyDescent="0.25">
      <c r="A105" s="241">
        <v>2.64</v>
      </c>
      <c r="B105" s="241">
        <v>0.48</v>
      </c>
      <c r="C105" s="241">
        <v>16.68</v>
      </c>
      <c r="D105" s="241">
        <v>77.352000000000004</v>
      </c>
      <c r="E105" s="242" t="s">
        <v>471</v>
      </c>
      <c r="F105" s="242" t="s">
        <v>715</v>
      </c>
      <c r="G105" s="211" t="str">
        <f>IFERROR(VLOOKUP(F105,[1]Реестр!A:K,2,0),"")</f>
        <v/>
      </c>
      <c r="H105" s="392">
        <v>40</v>
      </c>
      <c r="I105" s="451"/>
      <c r="K105" s="208"/>
    </row>
    <row r="106" spans="1:12" ht="18.75" x14ac:dyDescent="0.25">
      <c r="A106" s="241">
        <v>1.32</v>
      </c>
      <c r="B106" s="241">
        <v>0.24</v>
      </c>
      <c r="C106" s="241">
        <v>8.34</v>
      </c>
      <c r="D106" s="241">
        <v>38.676000000000002</v>
      </c>
      <c r="E106" s="381" t="str">
        <f>"-"</f>
        <v>-</v>
      </c>
      <c r="F106" s="381" t="s">
        <v>707</v>
      </c>
      <c r="G106" s="211" t="str">
        <f>IFERROR(VLOOKUP(F106,[1]Реестр!A:K,2,0),"")</f>
        <v/>
      </c>
      <c r="H106" s="264" t="str">
        <f>"20"</f>
        <v>20</v>
      </c>
      <c r="I106" s="451"/>
      <c r="K106" s="208"/>
    </row>
    <row r="107" spans="1:12" ht="18.75" x14ac:dyDescent="0.3">
      <c r="A107" s="209"/>
      <c r="B107" s="209"/>
      <c r="C107" s="209"/>
      <c r="D107" s="209"/>
      <c r="E107" s="210"/>
      <c r="F107" s="217"/>
      <c r="G107" s="211"/>
      <c r="H107" s="206"/>
      <c r="I107" s="452"/>
      <c r="K107" s="208"/>
    </row>
    <row r="108" spans="1:12" ht="18.75" x14ac:dyDescent="0.3">
      <c r="A108" s="464" t="s">
        <v>16</v>
      </c>
      <c r="B108" s="464"/>
      <c r="C108" s="464"/>
      <c r="D108" s="464"/>
      <c r="E108" s="464"/>
      <c r="F108" s="464"/>
      <c r="G108" s="205"/>
      <c r="H108" s="206"/>
      <c r="I108" s="207">
        <f>SUM(I102)</f>
        <v>149.52000000000001</v>
      </c>
      <c r="K108" s="208"/>
    </row>
    <row r="109" spans="1:12" ht="18.75" x14ac:dyDescent="0.3">
      <c r="A109" s="462" t="s">
        <v>566</v>
      </c>
      <c r="B109" s="462"/>
      <c r="C109" s="462"/>
      <c r="D109" s="462"/>
      <c r="E109" s="462"/>
      <c r="F109" s="462"/>
      <c r="G109" s="462"/>
      <c r="H109" s="462"/>
      <c r="I109" s="462"/>
      <c r="K109" s="208"/>
    </row>
    <row r="110" spans="1:12" ht="30" x14ac:dyDescent="0.25">
      <c r="A110" s="417">
        <v>0.7</v>
      </c>
      <c r="B110" s="243">
        <v>4.8099999999999996</v>
      </c>
      <c r="C110" s="243">
        <v>1.6</v>
      </c>
      <c r="D110" s="243">
        <v>57.718236800000007</v>
      </c>
      <c r="E110" s="242" t="str">
        <f>"7/13/1"</f>
        <v>7/13/1</v>
      </c>
      <c r="F110" s="242" t="s">
        <v>736</v>
      </c>
      <c r="G110" s="211" t="str">
        <f>IFERROR(VLOOKUP(F110,[2]Реестр!A:K,2,0),"")</f>
        <v/>
      </c>
      <c r="H110" s="263" t="s">
        <v>81</v>
      </c>
      <c r="I110" s="450">
        <v>224.27</v>
      </c>
      <c r="K110" s="208"/>
    </row>
    <row r="111" spans="1:12" ht="18.75" x14ac:dyDescent="0.25">
      <c r="A111" s="263">
        <v>4.1100000000000003</v>
      </c>
      <c r="B111" s="263">
        <v>4.7699999999999996</v>
      </c>
      <c r="C111" s="263">
        <v>39.56</v>
      </c>
      <c r="D111" s="263">
        <v>235.36</v>
      </c>
      <c r="E111" s="242" t="s">
        <v>711</v>
      </c>
      <c r="F111" s="242" t="s">
        <v>737</v>
      </c>
      <c r="G111" s="211" t="str">
        <f>IFERROR(VLOOKUP(F111,[2]Реестр!A:K,2,0),"")</f>
        <v/>
      </c>
      <c r="H111" s="243" t="str">
        <f>"250"</f>
        <v>250</v>
      </c>
      <c r="I111" s="451"/>
      <c r="K111" s="208"/>
    </row>
    <row r="112" spans="1:12" ht="18.75" x14ac:dyDescent="0.25">
      <c r="A112" s="263">
        <v>15.55</v>
      </c>
      <c r="B112" s="263">
        <v>15.9</v>
      </c>
      <c r="C112" s="263">
        <v>90.5</v>
      </c>
      <c r="D112" s="263">
        <v>408.6</v>
      </c>
      <c r="E112" s="242" t="s">
        <v>712</v>
      </c>
      <c r="F112" s="242" t="s">
        <v>713</v>
      </c>
      <c r="G112" s="211"/>
      <c r="H112" s="266">
        <v>200</v>
      </c>
      <c r="I112" s="451"/>
      <c r="K112" s="208"/>
    </row>
    <row r="113" spans="1:11" ht="18.75" x14ac:dyDescent="0.25">
      <c r="A113" s="263">
        <v>0.18</v>
      </c>
      <c r="B113" s="263">
        <v>0.05</v>
      </c>
      <c r="C113" s="263">
        <v>9.6300000000000008</v>
      </c>
      <c r="D113" s="263">
        <v>37.582527999999996</v>
      </c>
      <c r="E113" s="242" t="s">
        <v>738</v>
      </c>
      <c r="F113" s="242" t="s">
        <v>739</v>
      </c>
      <c r="G113" s="211"/>
      <c r="H113" s="263" t="s">
        <v>118</v>
      </c>
      <c r="I113" s="451"/>
      <c r="K113" s="208"/>
    </row>
    <row r="114" spans="1:11" ht="18.75" customHeight="1" x14ac:dyDescent="0.25">
      <c r="A114" s="241">
        <v>3.3</v>
      </c>
      <c r="B114" s="241">
        <v>0.6</v>
      </c>
      <c r="C114" s="241">
        <v>20.85</v>
      </c>
      <c r="D114" s="241">
        <v>96.69</v>
      </c>
      <c r="E114" s="242" t="str">
        <f>"-"</f>
        <v>-</v>
      </c>
      <c r="F114" s="242" t="s">
        <v>715</v>
      </c>
      <c r="G114" s="211"/>
      <c r="H114" s="264" t="str">
        <f>"40"</f>
        <v>40</v>
      </c>
      <c r="I114" s="451"/>
      <c r="K114" s="208"/>
    </row>
    <row r="115" spans="1:11" ht="18.75" x14ac:dyDescent="0.25">
      <c r="A115" s="264">
        <v>2.64</v>
      </c>
      <c r="B115" s="264">
        <v>0.48</v>
      </c>
      <c r="C115" s="264">
        <v>16.68</v>
      </c>
      <c r="D115" s="264">
        <v>77.352000000000004</v>
      </c>
      <c r="E115" s="381" t="str">
        <f>"-"</f>
        <v>-</v>
      </c>
      <c r="F115" s="381" t="s">
        <v>707</v>
      </c>
      <c r="G115" s="211" t="str">
        <f>IFERROR(VLOOKUP(F115,[2]Реестр!A:K,2,0),"")</f>
        <v/>
      </c>
      <c r="H115" s="264" t="str">
        <f>"40"</f>
        <v>40</v>
      </c>
      <c r="I115" s="451"/>
      <c r="K115" s="208"/>
    </row>
    <row r="116" spans="1:11" ht="18.75" x14ac:dyDescent="0.25">
      <c r="A116" s="241"/>
      <c r="B116" s="241"/>
      <c r="C116" s="241"/>
      <c r="D116" s="241"/>
      <c r="E116" s="265"/>
      <c r="F116" s="217"/>
      <c r="G116" s="211"/>
      <c r="H116" s="269"/>
      <c r="I116" s="451"/>
      <c r="K116" s="208"/>
    </row>
    <row r="117" spans="1:11" ht="18.75" x14ac:dyDescent="0.3">
      <c r="A117" s="464" t="s">
        <v>16</v>
      </c>
      <c r="B117" s="464"/>
      <c r="C117" s="464"/>
      <c r="D117" s="464"/>
      <c r="E117" s="464"/>
      <c r="F117" s="464"/>
      <c r="G117" s="205"/>
      <c r="H117" s="206"/>
      <c r="I117" s="207">
        <f>SUM(I110:I116)</f>
        <v>224.27</v>
      </c>
      <c r="K117" s="208"/>
    </row>
    <row r="118" spans="1:11" ht="18.75" x14ac:dyDescent="0.3">
      <c r="A118" s="462" t="s">
        <v>550</v>
      </c>
      <c r="B118" s="462"/>
      <c r="C118" s="462"/>
      <c r="D118" s="462"/>
      <c r="E118" s="462"/>
      <c r="F118" s="462"/>
      <c r="G118" s="462"/>
      <c r="H118" s="462"/>
      <c r="I118" s="462"/>
      <c r="K118" s="208"/>
    </row>
    <row r="119" spans="1:11" ht="30" x14ac:dyDescent="0.25">
      <c r="A119" s="417">
        <v>1.33</v>
      </c>
      <c r="B119" s="243">
        <v>5.12</v>
      </c>
      <c r="C119" s="243">
        <v>7.75</v>
      </c>
      <c r="D119" s="243">
        <v>73.52</v>
      </c>
      <c r="E119" s="242" t="s">
        <v>709</v>
      </c>
      <c r="F119" s="242" t="s">
        <v>710</v>
      </c>
      <c r="G119" s="211" t="str">
        <f>IFERROR(VLOOKUP(F119,[2]Реестр!A:K,2,0),"")</f>
        <v/>
      </c>
      <c r="H119" s="210">
        <v>80</v>
      </c>
      <c r="I119" s="450">
        <v>224.27</v>
      </c>
      <c r="K119" s="208"/>
    </row>
    <row r="120" spans="1:11" ht="18.75" x14ac:dyDescent="0.3">
      <c r="A120" s="263">
        <v>4.1100000000000003</v>
      </c>
      <c r="B120" s="263">
        <v>4.7699999999999996</v>
      </c>
      <c r="C120" s="263">
        <v>59.23</v>
      </c>
      <c r="D120" s="263">
        <v>143.13</v>
      </c>
      <c r="E120" s="242" t="str">
        <f>"6/65-1"</f>
        <v>6/65-1</v>
      </c>
      <c r="F120" s="242" t="s">
        <v>731</v>
      </c>
      <c r="G120" s="211" t="str">
        <f>IFERROR(VLOOKUP(F120,[2]Реестр!A:K,2,0),"")</f>
        <v/>
      </c>
      <c r="H120" s="206">
        <v>250</v>
      </c>
      <c r="I120" s="451"/>
      <c r="K120" s="208"/>
    </row>
    <row r="121" spans="1:11" ht="18.75" x14ac:dyDescent="0.3">
      <c r="A121" s="263">
        <v>15.55</v>
      </c>
      <c r="B121" s="263">
        <v>15.9</v>
      </c>
      <c r="C121" s="263">
        <v>90.5</v>
      </c>
      <c r="D121" s="263">
        <v>408.6</v>
      </c>
      <c r="E121" s="242" t="s">
        <v>712</v>
      </c>
      <c r="F121" s="242" t="s">
        <v>713</v>
      </c>
      <c r="G121" s="391">
        <v>200</v>
      </c>
      <c r="H121" s="206">
        <v>200</v>
      </c>
      <c r="I121" s="451"/>
      <c r="K121" s="208"/>
    </row>
    <row r="122" spans="1:11" ht="18.75" x14ac:dyDescent="0.3">
      <c r="A122" s="263">
        <v>0.18</v>
      </c>
      <c r="B122" s="263">
        <v>0.05</v>
      </c>
      <c r="C122" s="263">
        <v>0.32</v>
      </c>
      <c r="D122" s="263">
        <v>37.582527999999996</v>
      </c>
      <c r="E122" s="242" t="s">
        <v>714</v>
      </c>
      <c r="F122" s="242" t="s">
        <v>328</v>
      </c>
      <c r="G122" s="263" t="s">
        <v>118</v>
      </c>
      <c r="H122" s="206">
        <v>200</v>
      </c>
      <c r="I122" s="451"/>
      <c r="K122" s="208"/>
    </row>
    <row r="123" spans="1:11" ht="18.75" x14ac:dyDescent="0.3">
      <c r="A123" s="264">
        <v>2.64</v>
      </c>
      <c r="B123" s="264">
        <v>0.48</v>
      </c>
      <c r="C123" s="264">
        <v>16.68</v>
      </c>
      <c r="D123" s="264">
        <v>77.352000000000004</v>
      </c>
      <c r="E123" s="242" t="str">
        <f>"-"</f>
        <v>-</v>
      </c>
      <c r="F123" s="242" t="s">
        <v>715</v>
      </c>
      <c r="G123" s="392">
        <v>50</v>
      </c>
      <c r="H123" s="206">
        <v>40</v>
      </c>
      <c r="I123" s="451"/>
      <c r="K123" s="208"/>
    </row>
    <row r="124" spans="1:11" ht="18.75" x14ac:dyDescent="0.3">
      <c r="A124" s="264">
        <v>2.64</v>
      </c>
      <c r="B124" s="264">
        <v>0.48</v>
      </c>
      <c r="C124" s="264">
        <v>16.68</v>
      </c>
      <c r="D124" s="264">
        <v>77.352000000000004</v>
      </c>
      <c r="E124" s="381" t="str">
        <f>"-"</f>
        <v>-</v>
      </c>
      <c r="F124" s="381" t="s">
        <v>707</v>
      </c>
      <c r="G124" s="392">
        <v>30</v>
      </c>
      <c r="H124" s="206">
        <v>40</v>
      </c>
      <c r="I124" s="451"/>
      <c r="K124" s="208"/>
    </row>
    <row r="125" spans="1:11" ht="18.75" x14ac:dyDescent="0.25">
      <c r="A125" s="246"/>
      <c r="B125" s="246"/>
      <c r="C125" s="246"/>
      <c r="D125" s="246"/>
      <c r="E125" s="247"/>
      <c r="F125" s="204"/>
      <c r="G125" s="199"/>
      <c r="H125" s="246"/>
      <c r="I125" s="451"/>
      <c r="K125" s="208"/>
    </row>
    <row r="126" spans="1:11" ht="18.75" x14ac:dyDescent="0.3">
      <c r="A126" s="464" t="s">
        <v>16</v>
      </c>
      <c r="B126" s="464"/>
      <c r="C126" s="464"/>
      <c r="D126" s="464"/>
      <c r="E126" s="464"/>
      <c r="F126" s="464"/>
      <c r="G126" s="205"/>
      <c r="H126" s="206"/>
      <c r="I126" s="207">
        <f>SUM(I119)</f>
        <v>224.27</v>
      </c>
      <c r="K126" s="208"/>
    </row>
    <row r="127" spans="1:11" ht="18.75" x14ac:dyDescent="0.25">
      <c r="A127" s="484" t="s">
        <v>701</v>
      </c>
      <c r="B127" s="485"/>
      <c r="C127" s="485"/>
      <c r="D127" s="485"/>
      <c r="E127" s="485"/>
      <c r="F127" s="485"/>
      <c r="G127" s="485"/>
      <c r="H127" s="485"/>
      <c r="I127" s="486"/>
      <c r="K127" s="208"/>
    </row>
    <row r="128" spans="1:11" ht="18.75" x14ac:dyDescent="0.3">
      <c r="A128" s="263">
        <v>4.1100000000000003</v>
      </c>
      <c r="B128" s="263">
        <v>4.7699999999999996</v>
      </c>
      <c r="C128" s="263">
        <v>59.23</v>
      </c>
      <c r="D128" s="263">
        <v>143.13</v>
      </c>
      <c r="E128" s="242" t="str">
        <f>"6/65-1"</f>
        <v>6/65-1</v>
      </c>
      <c r="F128" s="242" t="s">
        <v>731</v>
      </c>
      <c r="G128" s="211" t="str">
        <f>IFERROR(VLOOKUP(F128,[2]Реестр!A:K,2,0),"")</f>
        <v/>
      </c>
      <c r="H128" s="206">
        <v>250</v>
      </c>
      <c r="I128" s="450">
        <v>235</v>
      </c>
      <c r="K128" s="208"/>
    </row>
    <row r="129" spans="1:11" ht="18.75" x14ac:dyDescent="0.3">
      <c r="A129" s="263">
        <v>15.55</v>
      </c>
      <c r="B129" s="263">
        <v>15.9</v>
      </c>
      <c r="C129" s="263">
        <v>90.5</v>
      </c>
      <c r="D129" s="263">
        <v>408.6</v>
      </c>
      <c r="E129" s="242" t="s">
        <v>712</v>
      </c>
      <c r="F129" s="242" t="s">
        <v>713</v>
      </c>
      <c r="G129" s="211" t="str">
        <f>IFERROR(VLOOKUP(F129,[2]Реестр!A:K,2,0),"")</f>
        <v/>
      </c>
      <c r="H129" s="206">
        <v>210</v>
      </c>
      <c r="I129" s="451"/>
      <c r="K129" s="208"/>
    </row>
    <row r="130" spans="1:11" ht="18.75" x14ac:dyDescent="0.3">
      <c r="A130" s="263">
        <v>0.18</v>
      </c>
      <c r="B130" s="263">
        <v>0.05</v>
      </c>
      <c r="C130" s="263">
        <v>0.32</v>
      </c>
      <c r="D130" s="263">
        <v>37.582527999999996</v>
      </c>
      <c r="E130" s="242" t="s">
        <v>714</v>
      </c>
      <c r="F130" s="242" t="s">
        <v>328</v>
      </c>
      <c r="G130" s="211">
        <f>IFERROR(VLOOKUP(F130,[2]Реестр!A:K,2,0),"")</f>
        <v>200</v>
      </c>
      <c r="H130" s="206">
        <v>200</v>
      </c>
      <c r="I130" s="451"/>
      <c r="K130" s="208"/>
    </row>
    <row r="131" spans="1:11" ht="18.75" x14ac:dyDescent="0.3">
      <c r="A131" s="209">
        <v>2.64</v>
      </c>
      <c r="B131" s="209">
        <v>0.24</v>
      </c>
      <c r="C131" s="209">
        <v>18.72</v>
      </c>
      <c r="D131" s="209">
        <v>89.6</v>
      </c>
      <c r="E131" s="405" t="s">
        <v>471</v>
      </c>
      <c r="F131" s="408" t="s">
        <v>66</v>
      </c>
      <c r="G131" s="211" t="str">
        <f>IFERROR(VLOOKUP(F131,[2]Реестр!A:K,2,0),"")</f>
        <v>100</v>
      </c>
      <c r="H131" s="206">
        <v>25</v>
      </c>
      <c r="I131" s="451"/>
      <c r="K131" s="208"/>
    </row>
    <row r="132" spans="1:11" ht="18.75" x14ac:dyDescent="0.3">
      <c r="A132" s="209">
        <v>2.97</v>
      </c>
      <c r="B132" s="209">
        <v>0.54</v>
      </c>
      <c r="C132" s="209">
        <v>15.03</v>
      </c>
      <c r="D132" s="209">
        <v>86.85</v>
      </c>
      <c r="E132" s="405" t="s">
        <v>471</v>
      </c>
      <c r="F132" s="408" t="s">
        <v>65</v>
      </c>
      <c r="G132" s="211" t="str">
        <f>IFERROR(VLOOKUP(F132,[2]Реестр!A:K,2,0),"")</f>
        <v>100</v>
      </c>
      <c r="H132" s="206">
        <v>20</v>
      </c>
      <c r="I132" s="451"/>
      <c r="K132" s="208"/>
    </row>
    <row r="133" spans="1:11" ht="18.75" x14ac:dyDescent="0.3">
      <c r="A133" s="219">
        <v>7.7</v>
      </c>
      <c r="B133" s="219">
        <v>7.42</v>
      </c>
      <c r="C133" s="219">
        <v>32.090000000000003</v>
      </c>
      <c r="D133" s="219">
        <v>225.88</v>
      </c>
      <c r="E133" s="416" t="s">
        <v>408</v>
      </c>
      <c r="F133" s="403" t="s">
        <v>529</v>
      </c>
      <c r="G133" s="211">
        <f>IFERROR(VLOOKUP(F133,[2]Реестр!A:K,2,0),"")</f>
        <v>100</v>
      </c>
      <c r="H133" s="206">
        <v>80</v>
      </c>
      <c r="I133" s="452"/>
      <c r="K133" s="208"/>
    </row>
    <row r="134" spans="1:11" ht="18.75" hidden="1" x14ac:dyDescent="0.3">
      <c r="A134" s="219"/>
      <c r="B134" s="219"/>
      <c r="C134" s="219"/>
      <c r="D134" s="219"/>
      <c r="E134" s="210"/>
      <c r="F134" s="398"/>
      <c r="G134" s="220"/>
      <c r="H134" s="221"/>
      <c r="I134" s="399"/>
      <c r="K134" s="208"/>
    </row>
    <row r="135" spans="1:11" ht="18.75" hidden="1" x14ac:dyDescent="0.3">
      <c r="A135" s="219"/>
      <c r="B135" s="219"/>
      <c r="C135" s="219"/>
      <c r="D135" s="219"/>
      <c r="E135" s="210"/>
      <c r="F135" s="398"/>
      <c r="G135" s="220"/>
      <c r="H135" s="221"/>
      <c r="I135" s="399"/>
      <c r="K135" s="208"/>
    </row>
    <row r="136" spans="1:11" ht="18.75" x14ac:dyDescent="0.3">
      <c r="A136" s="464" t="s">
        <v>16</v>
      </c>
      <c r="B136" s="464"/>
      <c r="C136" s="464"/>
      <c r="D136" s="464"/>
      <c r="E136" s="464"/>
      <c r="F136" s="464"/>
      <c r="G136" s="205"/>
      <c r="H136" s="206"/>
      <c r="I136" s="207">
        <f>SUM(I128:I135)</f>
        <v>235</v>
      </c>
      <c r="J136" s="215">
        <v>188</v>
      </c>
      <c r="K136" s="208"/>
    </row>
    <row r="137" spans="1:11" ht="18.75" x14ac:dyDescent="0.3">
      <c r="A137" s="481" t="s">
        <v>677</v>
      </c>
      <c r="B137" s="482"/>
      <c r="C137" s="482"/>
      <c r="D137" s="482"/>
      <c r="E137" s="482"/>
      <c r="F137" s="482"/>
      <c r="G137" s="482"/>
      <c r="H137" s="482"/>
      <c r="I137" s="483"/>
      <c r="K137" s="208"/>
    </row>
    <row r="138" spans="1:11" ht="18.75" x14ac:dyDescent="0.3">
      <c r="A138" s="263">
        <v>5.55</v>
      </c>
      <c r="B138" s="263">
        <v>7.8</v>
      </c>
      <c r="C138" s="263">
        <v>15.95</v>
      </c>
      <c r="D138" s="263">
        <v>199.78905478333331</v>
      </c>
      <c r="E138" s="242" t="s">
        <v>711</v>
      </c>
      <c r="F138" s="242" t="s">
        <v>716</v>
      </c>
      <c r="G138" s="206">
        <v>200</v>
      </c>
      <c r="H138" s="206">
        <v>200</v>
      </c>
      <c r="I138" s="450">
        <v>130.88</v>
      </c>
      <c r="K138" s="208"/>
    </row>
    <row r="139" spans="1:11" ht="18.75" x14ac:dyDescent="0.3">
      <c r="A139" s="263">
        <v>16.579999999999998</v>
      </c>
      <c r="B139" s="263">
        <v>19.5</v>
      </c>
      <c r="C139" s="263">
        <v>68.38</v>
      </c>
      <c r="D139" s="263">
        <v>327.07</v>
      </c>
      <c r="E139" s="242" t="s">
        <v>712</v>
      </c>
      <c r="F139" s="242" t="s">
        <v>713</v>
      </c>
      <c r="G139" s="206">
        <v>200</v>
      </c>
      <c r="H139" s="206">
        <v>200</v>
      </c>
      <c r="I139" s="451"/>
      <c r="K139" s="208"/>
    </row>
    <row r="140" spans="1:11" ht="18.75" x14ac:dyDescent="0.3">
      <c r="A140" s="263">
        <v>0.14000000000000001</v>
      </c>
      <c r="B140" s="263">
        <v>0.1</v>
      </c>
      <c r="C140" s="263">
        <v>1.5</v>
      </c>
      <c r="D140" s="263">
        <v>83.962620000000015</v>
      </c>
      <c r="E140" s="242" t="s">
        <v>714</v>
      </c>
      <c r="F140" s="242" t="s">
        <v>328</v>
      </c>
      <c r="G140" s="206">
        <v>200</v>
      </c>
      <c r="H140" s="206">
        <v>200</v>
      </c>
      <c r="I140" s="451"/>
      <c r="K140" s="208"/>
    </row>
    <row r="141" spans="1:11" ht="18.75" x14ac:dyDescent="0.3">
      <c r="A141" s="209">
        <v>2.64</v>
      </c>
      <c r="B141" s="209">
        <v>0.24</v>
      </c>
      <c r="C141" s="209">
        <v>18.72</v>
      </c>
      <c r="D141" s="209">
        <v>89.6</v>
      </c>
      <c r="E141" s="405" t="s">
        <v>471</v>
      </c>
      <c r="F141" s="408" t="s">
        <v>66</v>
      </c>
      <c r="G141" s="206">
        <v>40</v>
      </c>
      <c r="H141" s="206">
        <v>40</v>
      </c>
      <c r="I141" s="451"/>
      <c r="K141" s="208"/>
    </row>
    <row r="142" spans="1:11" ht="18.75" x14ac:dyDescent="0.3">
      <c r="A142" s="209">
        <v>2.64</v>
      </c>
      <c r="B142" s="209">
        <v>0.48</v>
      </c>
      <c r="C142" s="209">
        <v>13.36</v>
      </c>
      <c r="D142" s="209">
        <v>77.2</v>
      </c>
      <c r="E142" s="405" t="s">
        <v>471</v>
      </c>
      <c r="F142" s="408" t="s">
        <v>65</v>
      </c>
      <c r="G142" s="206">
        <v>40</v>
      </c>
      <c r="H142" s="206">
        <v>40</v>
      </c>
      <c r="I142" s="452"/>
      <c r="K142" s="208"/>
    </row>
    <row r="143" spans="1:11" ht="18.75" x14ac:dyDescent="0.3">
      <c r="A143" s="453" t="s">
        <v>16</v>
      </c>
      <c r="B143" s="454"/>
      <c r="C143" s="454"/>
      <c r="D143" s="454"/>
      <c r="E143" s="454"/>
      <c r="F143" s="455"/>
      <c r="G143" s="205"/>
      <c r="H143" s="206"/>
      <c r="I143" s="207">
        <f>SUM(I138:I142)</f>
        <v>130.88</v>
      </c>
      <c r="K143" s="208"/>
    </row>
    <row r="145" spans="2:11" s="215" customFormat="1" ht="18.75" x14ac:dyDescent="0.3">
      <c r="B145" s="252"/>
      <c r="C145" s="253"/>
      <c r="D145" s="253"/>
      <c r="E145" s="253"/>
      <c r="F145" s="254" t="s">
        <v>37</v>
      </c>
      <c r="G145" s="270"/>
      <c r="H145" s="257"/>
      <c r="I145" s="260" t="s">
        <v>570</v>
      </c>
      <c r="K145" s="202"/>
    </row>
    <row r="146" spans="2:11" s="215" customFormat="1" ht="18.75" x14ac:dyDescent="0.3">
      <c r="B146" s="252"/>
      <c r="C146" s="253"/>
      <c r="D146" s="253"/>
      <c r="E146" s="253"/>
      <c r="F146" s="254"/>
      <c r="G146" s="270"/>
      <c r="H146" s="418"/>
      <c r="I146" s="260"/>
      <c r="K146" s="202"/>
    </row>
    <row r="147" spans="2:11" x14ac:dyDescent="0.25">
      <c r="H147" s="414" t="s">
        <v>699</v>
      </c>
    </row>
  </sheetData>
  <autoFilter ref="A4:I93" xr:uid="{00000000-0009-0000-0000-000005000000}"/>
  <mergeCells count="56">
    <mergeCell ref="A137:I137"/>
    <mergeCell ref="I138:I142"/>
    <mergeCell ref="A143:F143"/>
    <mergeCell ref="A126:F126"/>
    <mergeCell ref="A127:I127"/>
    <mergeCell ref="A136:F136"/>
    <mergeCell ref="I128:I133"/>
    <mergeCell ref="A1:B1"/>
    <mergeCell ref="H1:I1"/>
    <mergeCell ref="H2:I2"/>
    <mergeCell ref="A3:C3"/>
    <mergeCell ref="D3:E3"/>
    <mergeCell ref="H3:I3"/>
    <mergeCell ref="A40:I40"/>
    <mergeCell ref="I4:I5"/>
    <mergeCell ref="A22:I22"/>
    <mergeCell ref="A29:F29"/>
    <mergeCell ref="A30:I30"/>
    <mergeCell ref="A38:F38"/>
    <mergeCell ref="A39:I39"/>
    <mergeCell ref="J4:J5"/>
    <mergeCell ref="A6:I6"/>
    <mergeCell ref="A12:F12"/>
    <mergeCell ref="A13:I13"/>
    <mergeCell ref="A21:F21"/>
    <mergeCell ref="A4:C4"/>
    <mergeCell ref="D4:D5"/>
    <mergeCell ref="E4:E5"/>
    <mergeCell ref="F4:F5"/>
    <mergeCell ref="G4:G5"/>
    <mergeCell ref="H4:H5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A85:I85"/>
    <mergeCell ref="A93:F93"/>
    <mergeCell ref="A94:I94"/>
    <mergeCell ref="I95:I99"/>
    <mergeCell ref="A109:I109"/>
    <mergeCell ref="A117:F117"/>
    <mergeCell ref="A118:I118"/>
    <mergeCell ref="I119:I125"/>
    <mergeCell ref="I110:I116"/>
    <mergeCell ref="A100:F100"/>
    <mergeCell ref="A101:I101"/>
    <mergeCell ref="I102:I107"/>
    <mergeCell ref="A108:F108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500-000000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F116</xm:sqref>
        </x14:dataValidation>
        <x14:dataValidation type="list" allowBlank="1" showInputMessage="1" showErrorMessage="1" xr:uid="{00000000-0002-0000-0500-000001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F44 F105:F106 F76:F77 F60 F68 F10 F19 F27:F28 F142 F36 F52 F91 F98:F99 F132 F124</xm:sqref>
        </x14:dataValidation>
        <x14:dataValidation type="list" allowBlank="1" showInputMessage="1" showErrorMessage="1" xr:uid="{00000000-0002-0000-05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F44 F105:F106 F76:F77 F91 F68 F142 F10 F19 F27:F28 F36 F60 F52 F98:F99 F132 F124</xm:sqref>
        </x14:dataValidation>
        <x14:dataValidation type="list" allowBlank="1" showInputMessage="1" showErrorMessage="1" xr:uid="{00000000-0002-0000-0500-000003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F133:F135 F80</xm:sqref>
        </x14:dataValidation>
        <x14:dataValidation type="list" allowBlank="1" showInputMessage="1" showErrorMessage="1" xr:uid="{00000000-0002-0000-0500-000004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F141 F7 F18 F26 F35 F57 F67 F95:F97 F113 F122:F123 F41 F51 F75 F90 F107 F102:F104 F111 F130:F131</xm:sqref>
        </x14:dataValidation>
        <x14:dataValidation type="list" allowBlank="1" showInputMessage="1" showErrorMessage="1" xr:uid="{00000000-0002-0000-0500-000006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F20 F125 F53 F37 F92 F69 F115</xm:sqref>
        </x14:dataValidation>
        <x14:dataValidation type="list" allowBlank="1" showInputMessage="1" showErrorMessage="1" xr:uid="{00000000-0002-0000-0500-000007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F83 F119:F121 F15 F87 F32 F110 F138 F64 F48 F112 F128:F129</xm:sqref>
        </x14:dataValidation>
        <x14:dataValidation type="list" allowBlank="1" showInputMessage="1" showErrorMessage="1" xr:uid="{760D71A3-9AF2-49D8-AC46-E342B33D0248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4">
    <pageSetUpPr fitToPage="1"/>
  </sheetPr>
  <dimension ref="A1:L149"/>
  <sheetViews>
    <sheetView view="pageBreakPreview" zoomScaleNormal="100" zoomScaleSheetLayoutView="100" workbookViewId="0">
      <selection activeCell="F7" sqref="F7"/>
    </sheetView>
  </sheetViews>
  <sheetFormatPr defaultRowHeight="15.75" x14ac:dyDescent="0.25"/>
  <cols>
    <col min="1" max="1" width="11.28515625" style="215" customWidth="1"/>
    <col min="2" max="2" width="11.28515625" style="252" customWidth="1"/>
    <col min="3" max="3" width="10.5703125" style="253" customWidth="1"/>
    <col min="4" max="4" width="10.28515625" style="253" customWidth="1"/>
    <col min="5" max="5" width="14" style="253" customWidth="1"/>
    <col min="6" max="6" width="57.85546875" style="253" customWidth="1"/>
    <col min="7" max="7" width="17.85546875" style="253" hidden="1" customWidth="1"/>
    <col min="8" max="9" width="15.5703125" style="253" customWidth="1"/>
    <col min="10" max="10" width="25.5703125" style="215" customWidth="1"/>
    <col min="11" max="1025" width="8.7109375" style="202" customWidth="1"/>
    <col min="1026" max="16384" width="9.140625" style="202"/>
  </cols>
  <sheetData>
    <row r="1" spans="1:12" s="234" customFormat="1" ht="29.25" customHeight="1" x14ac:dyDescent="0.25">
      <c r="A1" s="468" t="s">
        <v>0</v>
      </c>
      <c r="B1" s="468"/>
      <c r="C1" s="235"/>
      <c r="D1" s="235"/>
      <c r="E1" s="235"/>
      <c r="F1" s="231" t="s">
        <v>1</v>
      </c>
      <c r="G1" s="231"/>
      <c r="H1" s="439" t="s">
        <v>0</v>
      </c>
      <c r="I1" s="439"/>
    </row>
    <row r="2" spans="1:12" s="234" customFormat="1" ht="29.25" customHeight="1" x14ac:dyDescent="0.25">
      <c r="A2" s="235" t="s">
        <v>2</v>
      </c>
      <c r="B2" s="235"/>
      <c r="C2" s="259"/>
      <c r="D2" s="259"/>
      <c r="E2" s="259"/>
      <c r="F2" s="231" t="s">
        <v>575</v>
      </c>
      <c r="G2" s="231"/>
      <c r="H2" s="487" t="s">
        <v>624</v>
      </c>
      <c r="I2" s="487"/>
      <c r="J2" s="235"/>
    </row>
    <row r="3" spans="1:12" s="234" customFormat="1" ht="29.25" customHeight="1" x14ac:dyDescent="0.25">
      <c r="A3" s="437" t="s">
        <v>522</v>
      </c>
      <c r="B3" s="437"/>
      <c r="C3" s="437"/>
      <c r="D3" s="438"/>
      <c r="E3" s="438"/>
      <c r="F3" s="231" t="s">
        <v>748</v>
      </c>
      <c r="G3" s="231"/>
      <c r="H3" s="470" t="s">
        <v>625</v>
      </c>
      <c r="I3" s="470"/>
    </row>
    <row r="4" spans="1:12" ht="15" customHeight="1" x14ac:dyDescent="0.25">
      <c r="A4" s="472" t="s">
        <v>4</v>
      </c>
      <c r="B4" s="472"/>
      <c r="C4" s="472"/>
      <c r="D4" s="471" t="s">
        <v>5</v>
      </c>
      <c r="E4" s="471" t="s">
        <v>6</v>
      </c>
      <c r="F4" s="471" t="s">
        <v>7</v>
      </c>
      <c r="G4" s="473" t="s">
        <v>8</v>
      </c>
      <c r="H4" s="471" t="s">
        <v>9</v>
      </c>
      <c r="I4" s="471" t="s">
        <v>10</v>
      </c>
      <c r="J4" s="471" t="s">
        <v>11</v>
      </c>
    </row>
    <row r="5" spans="1:12" x14ac:dyDescent="0.25">
      <c r="A5" s="232" t="s">
        <v>12</v>
      </c>
      <c r="B5" s="232" t="s">
        <v>13</v>
      </c>
      <c r="C5" s="232" t="s">
        <v>14</v>
      </c>
      <c r="D5" s="471"/>
      <c r="E5" s="471"/>
      <c r="F5" s="471"/>
      <c r="G5" s="473"/>
      <c r="H5" s="471"/>
      <c r="I5" s="471"/>
      <c r="J5" s="471"/>
    </row>
    <row r="6" spans="1:12" ht="18" customHeight="1" x14ac:dyDescent="0.3">
      <c r="A6" s="462" t="s">
        <v>15</v>
      </c>
      <c r="B6" s="462"/>
      <c r="C6" s="462"/>
      <c r="D6" s="462"/>
      <c r="E6" s="462"/>
      <c r="F6" s="462"/>
      <c r="G6" s="462"/>
      <c r="H6" s="462"/>
      <c r="I6" s="462"/>
      <c r="J6" s="212"/>
    </row>
    <row r="7" spans="1:12" ht="18" customHeight="1" x14ac:dyDescent="0.3">
      <c r="A7" s="243">
        <v>4.2300000000000004</v>
      </c>
      <c r="B7" s="243">
        <v>4.96</v>
      </c>
      <c r="C7" s="243">
        <v>38.700000000000003</v>
      </c>
      <c r="D7" s="243">
        <v>228.9</v>
      </c>
      <c r="E7" s="242" t="str">
        <f>"1/50"</f>
        <v>1/50</v>
      </c>
      <c r="F7" s="242" t="s">
        <v>706</v>
      </c>
      <c r="G7" s="211" t="str">
        <f>IFERROR(VLOOKUP(F7,[1]Реестр!A:K,2,0),"")</f>
        <v/>
      </c>
      <c r="H7" s="210">
        <v>30</v>
      </c>
      <c r="I7" s="207">
        <v>38.369999999999997</v>
      </c>
      <c r="J7" s="201" t="str">
        <f>IFERROR(VLOOKUP(O7,Реестр!#REF!,3,0)*Q7/P7,"")</f>
        <v/>
      </c>
    </row>
    <row r="8" spans="1:12" ht="18" customHeight="1" x14ac:dyDescent="0.3">
      <c r="A8" s="243">
        <v>13.79</v>
      </c>
      <c r="B8" s="243">
        <v>14.6</v>
      </c>
      <c r="C8" s="243">
        <v>23.4</v>
      </c>
      <c r="D8" s="243">
        <v>266.7</v>
      </c>
      <c r="E8" s="242" t="str">
        <f>"4/56"</f>
        <v>4/56</v>
      </c>
      <c r="F8" s="242" t="s">
        <v>705</v>
      </c>
      <c r="G8" s="211"/>
      <c r="H8" s="210">
        <v>150</v>
      </c>
      <c r="I8" s="207">
        <v>75.42</v>
      </c>
      <c r="J8" s="201" t="str">
        <f>IFERROR(VLOOKUP(O8,Реестр!#REF!,3,0)*Q8/P8,"")</f>
        <v/>
      </c>
    </row>
    <row r="9" spans="1:12" ht="18" customHeight="1" x14ac:dyDescent="0.3">
      <c r="A9" s="243">
        <v>0.18</v>
      </c>
      <c r="B9" s="243">
        <v>0.04</v>
      </c>
      <c r="C9" s="243">
        <v>13.75</v>
      </c>
      <c r="D9" s="243">
        <v>53.136642799999997</v>
      </c>
      <c r="E9" s="242" t="str">
        <f>"11/56"</f>
        <v>11/56</v>
      </c>
      <c r="F9" s="242" t="s">
        <v>499</v>
      </c>
      <c r="G9" s="211"/>
      <c r="H9" s="210">
        <v>200</v>
      </c>
      <c r="I9" s="207">
        <v>8.15</v>
      </c>
      <c r="J9" s="201" t="str">
        <f>IFERROR(VLOOKUP(O9,Реестр!#REF!,3,0)*Q9/P9,"")</f>
        <v/>
      </c>
    </row>
    <row r="10" spans="1:12" ht="18" customHeight="1" x14ac:dyDescent="0.3">
      <c r="A10" s="264">
        <v>1.3</v>
      </c>
      <c r="B10" s="264">
        <v>0.2</v>
      </c>
      <c r="C10" s="264">
        <v>6.7</v>
      </c>
      <c r="D10" s="264">
        <v>39</v>
      </c>
      <c r="E10" s="381" t="str">
        <f>"-"</f>
        <v>-</v>
      </c>
      <c r="F10" s="381" t="s">
        <v>707</v>
      </c>
      <c r="G10" s="211"/>
      <c r="H10" s="206">
        <v>20</v>
      </c>
      <c r="I10" s="207">
        <v>1.8</v>
      </c>
      <c r="J10" s="201" t="str">
        <f>IFERROR(VLOOKUP(O10,Реестр!#REF!,3,0)*Q10/P10,"")</f>
        <v/>
      </c>
    </row>
    <row r="11" spans="1:12" ht="18.75" x14ac:dyDescent="0.3">
      <c r="A11" s="264">
        <v>0.52</v>
      </c>
      <c r="B11" s="264">
        <v>0.52</v>
      </c>
      <c r="C11" s="264">
        <v>15.08</v>
      </c>
      <c r="D11" s="264">
        <v>63.283999999999985</v>
      </c>
      <c r="E11" s="381" t="str">
        <f>"-"</f>
        <v>-</v>
      </c>
      <c r="F11" s="381" t="s">
        <v>708</v>
      </c>
      <c r="G11" s="211"/>
      <c r="H11" s="206">
        <v>130</v>
      </c>
      <c r="I11" s="207">
        <v>25.78</v>
      </c>
      <c r="J11" s="206"/>
      <c r="K11" s="208"/>
    </row>
    <row r="12" spans="1:12" ht="18" customHeight="1" x14ac:dyDescent="0.3">
      <c r="A12" s="464" t="s">
        <v>16</v>
      </c>
      <c r="B12" s="464"/>
      <c r="C12" s="464"/>
      <c r="D12" s="464"/>
      <c r="E12" s="464"/>
      <c r="F12" s="464"/>
      <c r="G12" s="205"/>
      <c r="H12" s="206"/>
      <c r="I12" s="207">
        <f>SUM(I7:I11)</f>
        <v>149.51999999999998</v>
      </c>
      <c r="J12" s="206">
        <v>85.2</v>
      </c>
      <c r="K12" s="208">
        <f>I12-J12</f>
        <v>64.319999999999979</v>
      </c>
      <c r="L12" s="208"/>
    </row>
    <row r="13" spans="1:12" ht="18" customHeight="1" x14ac:dyDescent="0.3">
      <c r="A13" s="462" t="s">
        <v>17</v>
      </c>
      <c r="B13" s="462"/>
      <c r="C13" s="462"/>
      <c r="D13" s="462"/>
      <c r="E13" s="462"/>
      <c r="F13" s="462"/>
      <c r="G13" s="462"/>
      <c r="H13" s="462"/>
      <c r="I13" s="462"/>
      <c r="J13" s="212"/>
    </row>
    <row r="14" spans="1:12" ht="30" x14ac:dyDescent="0.3">
      <c r="A14" s="383">
        <v>1.33</v>
      </c>
      <c r="B14" s="383">
        <v>5.12</v>
      </c>
      <c r="C14" s="383">
        <v>4.0999999999999996</v>
      </c>
      <c r="D14" s="383">
        <v>73.52</v>
      </c>
      <c r="E14" s="382" t="s">
        <v>709</v>
      </c>
      <c r="F14" s="242" t="s">
        <v>710</v>
      </c>
      <c r="G14" s="211" t="str">
        <f>IFERROR(VLOOKUP(F14,[2]Реестр!A:K,2,0),"")</f>
        <v/>
      </c>
      <c r="H14" s="210">
        <v>80</v>
      </c>
      <c r="I14" s="230">
        <v>44.94</v>
      </c>
      <c r="J14" s="201" t="str">
        <f>IFERROR(VLOOKUP(O14,Реестр!#REF!,3,0)*Q14/P14,"")</f>
        <v/>
      </c>
    </row>
    <row r="15" spans="1:12" ht="18" customHeight="1" x14ac:dyDescent="0.3">
      <c r="A15" s="263">
        <v>4.1100000000000003</v>
      </c>
      <c r="B15" s="263">
        <v>4.7699999999999996</v>
      </c>
      <c r="C15" s="263">
        <v>19.5</v>
      </c>
      <c r="D15" s="263">
        <v>143.13</v>
      </c>
      <c r="E15" s="242" t="s">
        <v>711</v>
      </c>
      <c r="F15" s="242" t="s">
        <v>716</v>
      </c>
      <c r="G15" s="211" t="str">
        <f>IFERROR(VLOOKUP(F15,[2]Реестр!A:K,2,0),"")</f>
        <v/>
      </c>
      <c r="H15" s="206">
        <v>250</v>
      </c>
      <c r="I15" s="207">
        <v>50</v>
      </c>
      <c r="J15" s="201" t="str">
        <f>IFERROR(VLOOKUP(O15,Реестр!#REF!,3,0)*Q15/P15,"")</f>
        <v/>
      </c>
    </row>
    <row r="16" spans="1:12" ht="18" customHeight="1" x14ac:dyDescent="0.3">
      <c r="A16" s="263">
        <v>15.55</v>
      </c>
      <c r="B16" s="263">
        <v>15.4</v>
      </c>
      <c r="C16" s="263">
        <v>57.1</v>
      </c>
      <c r="D16" s="263">
        <v>364.2</v>
      </c>
      <c r="E16" s="242" t="s">
        <v>712</v>
      </c>
      <c r="F16" s="242" t="s">
        <v>713</v>
      </c>
      <c r="G16" s="211" t="str">
        <f>IFERROR(VLOOKUP(F16,[2]Реестр!A:K,2,0),"")</f>
        <v/>
      </c>
      <c r="H16" s="206">
        <v>200</v>
      </c>
      <c r="I16" s="206">
        <v>102.59</v>
      </c>
      <c r="J16" s="201" t="str">
        <f>IFERROR(VLOOKUP(O16,Реестр!#REF!,3,0)*Q16/P16,"")</f>
        <v/>
      </c>
    </row>
    <row r="17" spans="1:12" ht="18" customHeight="1" x14ac:dyDescent="0.3">
      <c r="A17" s="263">
        <v>0.18</v>
      </c>
      <c r="B17" s="263">
        <v>0.05</v>
      </c>
      <c r="C17" s="263">
        <v>0.32</v>
      </c>
      <c r="D17" s="263">
        <v>37.582527999999996</v>
      </c>
      <c r="E17" s="242" t="s">
        <v>714</v>
      </c>
      <c r="F17" s="242" t="s">
        <v>328</v>
      </c>
      <c r="G17" s="211">
        <f>IFERROR(VLOOKUP(F17,[2]Реестр!A:K,2,0),"")</f>
        <v>200</v>
      </c>
      <c r="H17" s="206">
        <v>200</v>
      </c>
      <c r="I17" s="207">
        <v>19.54</v>
      </c>
      <c r="J17" s="201"/>
    </row>
    <row r="18" spans="1:12" ht="18" customHeight="1" x14ac:dyDescent="0.3">
      <c r="A18" s="264">
        <v>3.3</v>
      </c>
      <c r="B18" s="264">
        <v>0.3</v>
      </c>
      <c r="C18" s="264">
        <v>23.4</v>
      </c>
      <c r="D18" s="264">
        <v>112</v>
      </c>
      <c r="E18" s="242" t="s">
        <v>471</v>
      </c>
      <c r="F18" s="242" t="s">
        <v>715</v>
      </c>
      <c r="G18" s="211" t="str">
        <f>IFERROR(VLOOKUP(F18,[2]Реестр!A:K,2,0),"")</f>
        <v/>
      </c>
      <c r="H18" s="206">
        <v>50</v>
      </c>
      <c r="I18" s="207">
        <v>4.5</v>
      </c>
      <c r="J18" s="201" t="str">
        <f>IFERROR(VLOOKUP(O18,Реестр!#REF!,3,0)*Q18/P18,"")</f>
        <v/>
      </c>
    </row>
    <row r="19" spans="1:12" ht="18" customHeight="1" x14ac:dyDescent="0.3">
      <c r="A19" s="241">
        <v>2</v>
      </c>
      <c r="B19" s="241">
        <v>0.4</v>
      </c>
      <c r="C19" s="241">
        <v>10</v>
      </c>
      <c r="D19" s="241">
        <v>58</v>
      </c>
      <c r="E19" s="381" t="s">
        <v>471</v>
      </c>
      <c r="F19" s="381" t="s">
        <v>707</v>
      </c>
      <c r="G19" s="211" t="str">
        <f>IFERROR(VLOOKUP(F19,[2]Реестр!A:K,2,0),"")</f>
        <v/>
      </c>
      <c r="H19" s="206">
        <v>30</v>
      </c>
      <c r="I19" s="203">
        <v>2.7</v>
      </c>
      <c r="J19" s="201" t="str">
        <f>IFERROR(VLOOKUP(O19,Реестр!#REF!,3,0)*Q19/P19,"")</f>
        <v/>
      </c>
    </row>
    <row r="20" spans="1:12" ht="18" customHeight="1" x14ac:dyDescent="0.3">
      <c r="A20" s="196"/>
      <c r="B20" s="196"/>
      <c r="C20" s="196"/>
      <c r="D20" s="196"/>
      <c r="E20" s="214"/>
      <c r="F20" s="204"/>
      <c r="G20" s="199"/>
      <c r="H20" s="200"/>
      <c r="I20" s="203"/>
      <c r="J20" s="201"/>
    </row>
    <row r="21" spans="1:12" ht="18.75" x14ac:dyDescent="0.3">
      <c r="A21" s="464" t="s">
        <v>16</v>
      </c>
      <c r="B21" s="464"/>
      <c r="C21" s="464"/>
      <c r="D21" s="464"/>
      <c r="E21" s="464"/>
      <c r="F21" s="464"/>
      <c r="G21" s="205"/>
      <c r="H21" s="206"/>
      <c r="I21" s="207">
        <f>SUM(I14:I20)</f>
        <v>224.26999999999998</v>
      </c>
      <c r="J21" s="206">
        <v>127.79</v>
      </c>
      <c r="K21" s="208">
        <f>J21-I21</f>
        <v>-96.479999999999976</v>
      </c>
    </row>
    <row r="22" spans="1:12" ht="18.75" x14ac:dyDescent="0.3">
      <c r="A22" s="462" t="s">
        <v>500</v>
      </c>
      <c r="B22" s="462"/>
      <c r="C22" s="462"/>
      <c r="D22" s="462"/>
      <c r="E22" s="462"/>
      <c r="F22" s="462"/>
      <c r="G22" s="462"/>
      <c r="H22" s="462"/>
      <c r="I22" s="462"/>
      <c r="J22" s="212"/>
    </row>
    <row r="23" spans="1:12" ht="18.75" x14ac:dyDescent="0.25">
      <c r="A23" s="263">
        <v>0.48</v>
      </c>
      <c r="B23" s="263">
        <v>2.37</v>
      </c>
      <c r="C23" s="263">
        <v>3.09</v>
      </c>
      <c r="D23" s="263">
        <v>36.64</v>
      </c>
      <c r="E23" s="384" t="str">
        <f>"7/26"</f>
        <v>7/26</v>
      </c>
      <c r="F23" s="385" t="s">
        <v>717</v>
      </c>
      <c r="G23" s="211" t="str">
        <f>IFERROR(VLOOKUP(F23,[1]Реестр!A:K,2,0),"")</f>
        <v/>
      </c>
      <c r="H23" s="210">
        <v>30</v>
      </c>
      <c r="I23" s="230">
        <v>19.260000000000002</v>
      </c>
      <c r="J23" s="212"/>
    </row>
    <row r="24" spans="1:12" ht="18.75" x14ac:dyDescent="0.3">
      <c r="A24" s="348">
        <v>19.440000000000001</v>
      </c>
      <c r="B24" s="348">
        <v>19.420000000000002</v>
      </c>
      <c r="C24" s="348">
        <v>57.63</v>
      </c>
      <c r="D24" s="348">
        <v>436.2</v>
      </c>
      <c r="E24" s="242" t="s">
        <v>712</v>
      </c>
      <c r="F24" s="242" t="s">
        <v>713</v>
      </c>
      <c r="G24" s="211" t="str">
        <f>IFERROR(VLOOKUP(F24,[2]Реестр!A:K,2,0),"")</f>
        <v/>
      </c>
      <c r="H24" s="206">
        <v>250</v>
      </c>
      <c r="I24" s="206">
        <v>130.94</v>
      </c>
      <c r="J24" s="201" t="str">
        <f>IFERROR(VLOOKUP(O24,Реестр!#REF!,3,0)*Q24/P24,"")</f>
        <v/>
      </c>
    </row>
    <row r="25" spans="1:12" ht="18.75" x14ac:dyDescent="0.3">
      <c r="A25" s="263">
        <v>0.18</v>
      </c>
      <c r="B25" s="263">
        <v>0.05</v>
      </c>
      <c r="C25" s="263">
        <v>0.32</v>
      </c>
      <c r="D25" s="263">
        <v>37.582527999999996</v>
      </c>
      <c r="E25" s="242" t="s">
        <v>714</v>
      </c>
      <c r="F25" s="386" t="s">
        <v>328</v>
      </c>
      <c r="G25" s="211">
        <f>IFERROR(VLOOKUP(F25,[2]Реестр!A:K,2,0),"")</f>
        <v>200</v>
      </c>
      <c r="H25" s="206">
        <v>200</v>
      </c>
      <c r="I25" s="207">
        <v>19.54</v>
      </c>
      <c r="J25" s="201"/>
    </row>
    <row r="26" spans="1:12" ht="18.75" x14ac:dyDescent="0.3">
      <c r="A26" s="264">
        <v>3.3</v>
      </c>
      <c r="B26" s="264">
        <v>0.3</v>
      </c>
      <c r="C26" s="264">
        <v>23.4</v>
      </c>
      <c r="D26" s="264">
        <v>112</v>
      </c>
      <c r="E26" s="242" t="str">
        <f>"-"</f>
        <v>-</v>
      </c>
      <c r="F26" s="387" t="s">
        <v>715</v>
      </c>
      <c r="G26" s="211" t="str">
        <f>IFERROR(VLOOKUP(F26,[2]Реестр!A:K,2,0),"")</f>
        <v/>
      </c>
      <c r="H26" s="206">
        <v>50</v>
      </c>
      <c r="I26" s="207">
        <v>4.5</v>
      </c>
      <c r="J26" s="201" t="str">
        <f>IFERROR(VLOOKUP(O26,Реестр!#REF!,3,0)*Q26/P26,"")</f>
        <v/>
      </c>
    </row>
    <row r="27" spans="1:12" ht="18.75" x14ac:dyDescent="0.3">
      <c r="A27" s="264">
        <v>2</v>
      </c>
      <c r="B27" s="264">
        <v>0.4</v>
      </c>
      <c r="C27" s="264">
        <v>10</v>
      </c>
      <c r="D27" s="264">
        <v>58</v>
      </c>
      <c r="E27" s="381" t="str">
        <f>"-"</f>
        <v>-</v>
      </c>
      <c r="F27" s="381" t="s">
        <v>707</v>
      </c>
      <c r="G27" s="211" t="str">
        <f>IFERROR(VLOOKUP(F27,[2]Реестр!A:K,2,0),"")</f>
        <v/>
      </c>
      <c r="H27" s="206">
        <v>30</v>
      </c>
      <c r="I27" s="203">
        <v>2.7</v>
      </c>
      <c r="J27" s="201"/>
    </row>
    <row r="28" spans="1:12" ht="18.75" x14ac:dyDescent="0.3">
      <c r="A28" s="196"/>
      <c r="B28" s="196"/>
      <c r="C28" s="196"/>
      <c r="D28" s="196"/>
      <c r="E28" s="197"/>
      <c r="F28" s="217"/>
      <c r="G28" s="199"/>
      <c r="H28" s="206"/>
      <c r="I28" s="203"/>
      <c r="J28" s="201" t="str">
        <f>IFERROR(VLOOKUP(O28,Реестр!#REF!,3,0)*Q28/P28,"")</f>
        <v/>
      </c>
    </row>
    <row r="29" spans="1:12" ht="18.75" x14ac:dyDescent="0.3">
      <c r="A29" s="453" t="s">
        <v>16</v>
      </c>
      <c r="B29" s="454"/>
      <c r="C29" s="454"/>
      <c r="D29" s="454"/>
      <c r="E29" s="454"/>
      <c r="F29" s="455"/>
      <c r="G29" s="205"/>
      <c r="H29" s="206"/>
      <c r="I29" s="207">
        <f>SUM(I23:I28)</f>
        <v>176.93999999999997</v>
      </c>
      <c r="J29" s="206">
        <v>98.52</v>
      </c>
      <c r="K29" s="208">
        <f>I29-J29</f>
        <v>78.419999999999973</v>
      </c>
      <c r="L29" s="208"/>
    </row>
    <row r="30" spans="1:12" ht="18.75" x14ac:dyDescent="0.3">
      <c r="A30" s="462" t="s">
        <v>501</v>
      </c>
      <c r="B30" s="462"/>
      <c r="C30" s="462"/>
      <c r="D30" s="462"/>
      <c r="E30" s="462"/>
      <c r="F30" s="462"/>
      <c r="G30" s="462"/>
      <c r="H30" s="462"/>
      <c r="I30" s="462"/>
      <c r="J30" s="201"/>
    </row>
    <row r="31" spans="1:12" ht="30" x14ac:dyDescent="0.3">
      <c r="A31" s="383">
        <v>2.2999999999999998</v>
      </c>
      <c r="B31" s="383">
        <v>6.01</v>
      </c>
      <c r="C31" s="383">
        <v>4.01</v>
      </c>
      <c r="D31" s="383">
        <v>72.147796</v>
      </c>
      <c r="E31" s="242" t="s">
        <v>709</v>
      </c>
      <c r="F31" s="242" t="s">
        <v>710</v>
      </c>
      <c r="G31" s="211" t="str">
        <f>IFERROR(VLOOKUP(F31,[2]Реестр!A:K,2,0),"")</f>
        <v/>
      </c>
      <c r="H31" s="210">
        <v>100</v>
      </c>
      <c r="I31" s="230">
        <v>56.17</v>
      </c>
      <c r="J31" s="201"/>
    </row>
    <row r="32" spans="1:12" ht="18.75" x14ac:dyDescent="0.3">
      <c r="A32" s="263">
        <v>4.1100000000000003</v>
      </c>
      <c r="B32" s="263">
        <v>4.7699999999999996</v>
      </c>
      <c r="C32" s="263">
        <v>26.5</v>
      </c>
      <c r="D32" s="263">
        <v>213.5</v>
      </c>
      <c r="E32" s="242" t="s">
        <v>711</v>
      </c>
      <c r="F32" s="242" t="s">
        <v>716</v>
      </c>
      <c r="G32" s="211" t="str">
        <f>IFERROR(VLOOKUP(F32,[2]Реестр!A:K,2,0),"")</f>
        <v/>
      </c>
      <c r="H32" s="206">
        <v>250</v>
      </c>
      <c r="I32" s="207">
        <v>50</v>
      </c>
      <c r="J32" s="206"/>
      <c r="K32" s="208">
        <f>I38-J32</f>
        <v>265.40000000000003</v>
      </c>
    </row>
    <row r="33" spans="1:12" ht="18.75" x14ac:dyDescent="0.3">
      <c r="A33" s="348">
        <v>17.5</v>
      </c>
      <c r="B33" s="348">
        <v>15.6</v>
      </c>
      <c r="C33" s="348">
        <v>42.3</v>
      </c>
      <c r="D33" s="348">
        <v>265.7</v>
      </c>
      <c r="E33" s="242" t="s">
        <v>712</v>
      </c>
      <c r="F33" s="242" t="s">
        <v>713</v>
      </c>
      <c r="G33" s="211" t="str">
        <f>IFERROR(VLOOKUP(F33,[2]Реестр!A:K,2,0),"")</f>
        <v/>
      </c>
      <c r="H33" s="206">
        <v>250</v>
      </c>
      <c r="I33" s="206">
        <v>130.94</v>
      </c>
      <c r="J33" s="212"/>
    </row>
    <row r="34" spans="1:12" ht="18.75" x14ac:dyDescent="0.3">
      <c r="A34" s="263">
        <v>3.94</v>
      </c>
      <c r="B34" s="263">
        <v>5.1100000000000003</v>
      </c>
      <c r="C34" s="263">
        <v>27.5</v>
      </c>
      <c r="D34" s="263">
        <v>170.19544859999999</v>
      </c>
      <c r="E34" s="242" t="s">
        <v>714</v>
      </c>
      <c r="F34" s="386" t="s">
        <v>328</v>
      </c>
      <c r="G34" s="211">
        <f>IFERROR(VLOOKUP(F34,[2]Реестр!A:K,2,0),"")</f>
        <v>200</v>
      </c>
      <c r="H34" s="206">
        <v>200</v>
      </c>
      <c r="I34" s="207">
        <v>19.54</v>
      </c>
      <c r="J34" s="212"/>
    </row>
    <row r="35" spans="1:12" ht="18.75" x14ac:dyDescent="0.3">
      <c r="A35" s="264">
        <v>0.14000000000000001</v>
      </c>
      <c r="B35" s="264">
        <v>0.1</v>
      </c>
      <c r="C35" s="264">
        <v>1.5</v>
      </c>
      <c r="D35" s="264">
        <v>83.962620000000015</v>
      </c>
      <c r="E35" s="242" t="s">
        <v>471</v>
      </c>
      <c r="F35" s="242" t="s">
        <v>715</v>
      </c>
      <c r="G35" s="211" t="str">
        <f>IFERROR(VLOOKUP(F35,[2]Реестр!A:K,2,0),"")</f>
        <v/>
      </c>
      <c r="H35" s="206">
        <v>50</v>
      </c>
      <c r="I35" s="207">
        <v>4.5</v>
      </c>
      <c r="J35" s="212"/>
    </row>
    <row r="36" spans="1:12" ht="18.75" x14ac:dyDescent="0.3">
      <c r="A36" s="264">
        <v>3.3</v>
      </c>
      <c r="B36" s="264">
        <v>0.3</v>
      </c>
      <c r="C36" s="264">
        <v>23.4</v>
      </c>
      <c r="D36" s="264">
        <v>112</v>
      </c>
      <c r="E36" s="381" t="s">
        <v>471</v>
      </c>
      <c r="F36" s="381" t="s">
        <v>707</v>
      </c>
      <c r="G36" s="211" t="str">
        <f>IFERROR(VLOOKUP(F36,[2]Реестр!A:K,2,0),"")</f>
        <v/>
      </c>
      <c r="H36" s="206">
        <v>50</v>
      </c>
      <c r="I36" s="203">
        <v>4.25</v>
      </c>
      <c r="J36" s="394"/>
    </row>
    <row r="37" spans="1:12" ht="18.75" x14ac:dyDescent="0.3">
      <c r="A37" s="209"/>
      <c r="B37" s="209"/>
      <c r="C37" s="209"/>
      <c r="D37" s="209"/>
      <c r="E37" s="218"/>
      <c r="F37" s="217"/>
      <c r="G37" s="211"/>
      <c r="H37" s="206"/>
      <c r="I37" s="207"/>
      <c r="J37" s="394"/>
    </row>
    <row r="38" spans="1:12" ht="18.75" x14ac:dyDescent="0.3">
      <c r="A38" s="453" t="s">
        <v>16</v>
      </c>
      <c r="B38" s="454"/>
      <c r="C38" s="454"/>
      <c r="D38" s="454"/>
      <c r="E38" s="454"/>
      <c r="F38" s="455"/>
      <c r="G38" s="205"/>
      <c r="H38" s="206"/>
      <c r="I38" s="207">
        <f>SUM(I31:I37)</f>
        <v>265.40000000000003</v>
      </c>
      <c r="J38" s="206">
        <v>147.79</v>
      </c>
      <c r="K38" s="208">
        <f>I38-J38</f>
        <v>117.61000000000004</v>
      </c>
    </row>
    <row r="39" spans="1:12" ht="18.75" x14ac:dyDescent="0.3">
      <c r="A39" s="462" t="s">
        <v>18</v>
      </c>
      <c r="B39" s="462"/>
      <c r="C39" s="462"/>
      <c r="D39" s="462"/>
      <c r="E39" s="462"/>
      <c r="F39" s="462"/>
      <c r="G39" s="462"/>
      <c r="H39" s="462"/>
      <c r="I39" s="462"/>
      <c r="J39" s="394"/>
    </row>
    <row r="40" spans="1:12" ht="18.75" x14ac:dyDescent="0.3">
      <c r="A40" s="462" t="s">
        <v>19</v>
      </c>
      <c r="B40" s="462"/>
      <c r="C40" s="462"/>
      <c r="D40" s="462"/>
      <c r="E40" s="462"/>
      <c r="F40" s="462"/>
      <c r="G40" s="462"/>
      <c r="H40" s="462"/>
      <c r="I40" s="462"/>
      <c r="J40" s="394"/>
    </row>
    <row r="41" spans="1:12" ht="18.75" x14ac:dyDescent="0.3">
      <c r="A41" s="243">
        <v>4.2300000000000004</v>
      </c>
      <c r="B41" s="243">
        <v>4.96</v>
      </c>
      <c r="C41" s="243">
        <v>38.700000000000003</v>
      </c>
      <c r="D41" s="243">
        <v>228.9</v>
      </c>
      <c r="E41" s="242" t="str">
        <f>"1/50"</f>
        <v>1/50</v>
      </c>
      <c r="F41" s="242" t="s">
        <v>706</v>
      </c>
      <c r="G41" s="211" t="str">
        <f>IFERROR(VLOOKUP(F41,[1]Реестр!A:K,2,0),"")</f>
        <v/>
      </c>
      <c r="H41" s="210">
        <v>30</v>
      </c>
      <c r="I41" s="207">
        <v>38.369999999999997</v>
      </c>
      <c r="J41" s="394" t="s">
        <v>20</v>
      </c>
    </row>
    <row r="42" spans="1:12" ht="18.75" x14ac:dyDescent="0.3">
      <c r="A42" s="243">
        <v>13.79</v>
      </c>
      <c r="B42" s="243">
        <v>14.6</v>
      </c>
      <c r="C42" s="243">
        <v>23.4</v>
      </c>
      <c r="D42" s="243">
        <v>266.7</v>
      </c>
      <c r="E42" s="242" t="str">
        <f>"4/56"</f>
        <v>4/56</v>
      </c>
      <c r="F42" s="242" t="s">
        <v>705</v>
      </c>
      <c r="G42" s="211"/>
      <c r="H42" s="210">
        <v>150</v>
      </c>
      <c r="I42" s="207">
        <v>75.42</v>
      </c>
      <c r="J42" s="394" t="s">
        <v>537</v>
      </c>
      <c r="K42" s="237"/>
      <c r="L42" s="237"/>
    </row>
    <row r="43" spans="1:12" ht="18.75" x14ac:dyDescent="0.3">
      <c r="A43" s="243">
        <v>0.18</v>
      </c>
      <c r="B43" s="243">
        <v>0.04</v>
      </c>
      <c r="C43" s="243">
        <v>13.75</v>
      </c>
      <c r="D43" s="243">
        <v>53.136642799999997</v>
      </c>
      <c r="E43" s="242" t="str">
        <f>"11/56"</f>
        <v>11/56</v>
      </c>
      <c r="F43" s="242" t="s">
        <v>499</v>
      </c>
      <c r="G43" s="211"/>
      <c r="H43" s="210">
        <v>200</v>
      </c>
      <c r="I43" s="207">
        <v>8.15</v>
      </c>
      <c r="J43" s="394" t="s">
        <v>477</v>
      </c>
      <c r="K43" s="237"/>
      <c r="L43" s="237"/>
    </row>
    <row r="44" spans="1:12" ht="18.75" x14ac:dyDescent="0.3">
      <c r="A44" s="264">
        <v>1.3</v>
      </c>
      <c r="B44" s="264">
        <v>0.2</v>
      </c>
      <c r="C44" s="264">
        <v>6.7</v>
      </c>
      <c r="D44" s="264">
        <v>39</v>
      </c>
      <c r="E44" s="381" t="str">
        <f>"-"</f>
        <v>-</v>
      </c>
      <c r="F44" s="381" t="s">
        <v>707</v>
      </c>
      <c r="G44" s="211"/>
      <c r="H44" s="206">
        <v>20</v>
      </c>
      <c r="I44" s="207">
        <v>1.8</v>
      </c>
      <c r="J44" s="394" t="s">
        <v>479</v>
      </c>
      <c r="K44" s="237"/>
      <c r="L44" s="237"/>
    </row>
    <row r="45" spans="1:12" ht="18.75" x14ac:dyDescent="0.3">
      <c r="A45" s="264">
        <v>0.52</v>
      </c>
      <c r="B45" s="264">
        <v>0.52</v>
      </c>
      <c r="C45" s="264">
        <v>15.08</v>
      </c>
      <c r="D45" s="264">
        <v>63.283999999999985</v>
      </c>
      <c r="E45" s="381" t="str">
        <f>"-"</f>
        <v>-</v>
      </c>
      <c r="F45" s="381" t="s">
        <v>708</v>
      </c>
      <c r="G45" s="211"/>
      <c r="H45" s="206">
        <v>130</v>
      </c>
      <c r="I45" s="207">
        <v>25.78</v>
      </c>
      <c r="J45" s="394" t="s">
        <v>475</v>
      </c>
      <c r="K45" s="238"/>
      <c r="L45" s="237"/>
    </row>
    <row r="46" spans="1:12" ht="18.75" x14ac:dyDescent="0.3">
      <c r="A46" s="465" t="s">
        <v>25</v>
      </c>
      <c r="B46" s="466"/>
      <c r="C46" s="466"/>
      <c r="D46" s="466"/>
      <c r="E46" s="466"/>
      <c r="F46" s="466"/>
      <c r="G46" s="466"/>
      <c r="H46" s="466"/>
      <c r="I46" s="467"/>
      <c r="J46" s="394"/>
    </row>
    <row r="47" spans="1:12" s="234" customFormat="1" ht="30" x14ac:dyDescent="0.25">
      <c r="A47" s="383">
        <v>1.33</v>
      </c>
      <c r="B47" s="383">
        <v>5.12</v>
      </c>
      <c r="C47" s="383">
        <v>4.0999999999999996</v>
      </c>
      <c r="D47" s="383">
        <v>73.52</v>
      </c>
      <c r="E47" s="382" t="s">
        <v>709</v>
      </c>
      <c r="F47" s="242" t="s">
        <v>710</v>
      </c>
      <c r="G47" s="211" t="str">
        <f>IFERROR(VLOOKUP(F47,[2]Реестр!A:K,2,0),"")</f>
        <v/>
      </c>
      <c r="H47" s="210">
        <v>80</v>
      </c>
      <c r="I47" s="230">
        <v>44.94</v>
      </c>
      <c r="J47" s="239" t="s">
        <v>538</v>
      </c>
    </row>
    <row r="48" spans="1:12" ht="18.75" x14ac:dyDescent="0.3">
      <c r="A48" s="263">
        <v>4.1100000000000003</v>
      </c>
      <c r="B48" s="263">
        <v>4.7699999999999996</v>
      </c>
      <c r="C48" s="263">
        <v>19.5</v>
      </c>
      <c r="D48" s="263">
        <v>143.13</v>
      </c>
      <c r="E48" s="242" t="s">
        <v>711</v>
      </c>
      <c r="F48" s="242" t="s">
        <v>716</v>
      </c>
      <c r="G48" s="211" t="str">
        <f>IFERROR(VLOOKUP(F48,[2]Реестр!A:K,2,0),"")</f>
        <v/>
      </c>
      <c r="H48" s="206">
        <v>250</v>
      </c>
      <c r="I48" s="207">
        <v>50</v>
      </c>
      <c r="J48" s="394" t="s">
        <v>478</v>
      </c>
    </row>
    <row r="49" spans="1:11" ht="18.75" x14ac:dyDescent="0.3">
      <c r="A49" s="263">
        <v>15.55</v>
      </c>
      <c r="B49" s="263">
        <v>15.4</v>
      </c>
      <c r="C49" s="263">
        <v>57.1</v>
      </c>
      <c r="D49" s="263">
        <v>364.2</v>
      </c>
      <c r="E49" s="242" t="s">
        <v>712</v>
      </c>
      <c r="F49" s="242" t="s">
        <v>713</v>
      </c>
      <c r="G49" s="211" t="str">
        <f>IFERROR(VLOOKUP(F49,[2]Реестр!A:K,2,0),"")</f>
        <v/>
      </c>
      <c r="H49" s="206">
        <v>200</v>
      </c>
      <c r="I49" s="206">
        <v>102.59</v>
      </c>
      <c r="J49" s="394" t="s">
        <v>537</v>
      </c>
    </row>
    <row r="50" spans="1:11" ht="18.75" x14ac:dyDescent="0.3">
      <c r="A50" s="263">
        <v>0.18</v>
      </c>
      <c r="B50" s="263">
        <v>0.05</v>
      </c>
      <c r="C50" s="263">
        <v>0.32</v>
      </c>
      <c r="D50" s="263">
        <v>37.582527999999996</v>
      </c>
      <c r="E50" s="242" t="s">
        <v>714</v>
      </c>
      <c r="F50" s="242" t="s">
        <v>328</v>
      </c>
      <c r="G50" s="211">
        <f>IFERROR(VLOOKUP(F50,[2]Реестр!A:K,2,0),"")</f>
        <v>200</v>
      </c>
      <c r="H50" s="206">
        <v>200</v>
      </c>
      <c r="I50" s="207">
        <v>19.54</v>
      </c>
      <c r="J50" s="394" t="s">
        <v>29</v>
      </c>
    </row>
    <row r="51" spans="1:11" ht="18.75" x14ac:dyDescent="0.3">
      <c r="A51" s="264">
        <v>3.3</v>
      </c>
      <c r="B51" s="264">
        <v>0.3</v>
      </c>
      <c r="C51" s="264">
        <v>23.4</v>
      </c>
      <c r="D51" s="264">
        <v>112</v>
      </c>
      <c r="E51" s="242" t="s">
        <v>471</v>
      </c>
      <c r="F51" s="242" t="s">
        <v>715</v>
      </c>
      <c r="G51" s="211" t="str">
        <f>IFERROR(VLOOKUP(F51,[2]Реестр!A:K,2,0),"")</f>
        <v/>
      </c>
      <c r="H51" s="206">
        <v>50</v>
      </c>
      <c r="I51" s="207">
        <v>4.5</v>
      </c>
      <c r="J51" s="394" t="s">
        <v>479</v>
      </c>
    </row>
    <row r="52" spans="1:11" ht="18.75" x14ac:dyDescent="0.3">
      <c r="A52" s="241">
        <v>2</v>
      </c>
      <c r="B52" s="241">
        <v>0.4</v>
      </c>
      <c r="C52" s="241">
        <v>10</v>
      </c>
      <c r="D52" s="241">
        <v>58</v>
      </c>
      <c r="E52" s="381" t="s">
        <v>471</v>
      </c>
      <c r="F52" s="381" t="s">
        <v>707</v>
      </c>
      <c r="G52" s="211" t="str">
        <f>IFERROR(VLOOKUP(F52,[2]Реестр!A:K,2,0),"")</f>
        <v/>
      </c>
      <c r="H52" s="206">
        <v>30</v>
      </c>
      <c r="I52" s="203">
        <v>2.7</v>
      </c>
      <c r="J52" s="394" t="s">
        <v>539</v>
      </c>
    </row>
    <row r="53" spans="1:11" ht="18.75" x14ac:dyDescent="0.3">
      <c r="A53" s="196"/>
      <c r="B53" s="196"/>
      <c r="C53" s="196"/>
      <c r="D53" s="196"/>
      <c r="E53" s="214"/>
      <c r="F53" s="204"/>
      <c r="G53" s="199"/>
      <c r="H53" s="200"/>
      <c r="I53" s="203"/>
      <c r="J53" s="394" t="s">
        <v>540</v>
      </c>
    </row>
    <row r="54" spans="1:11" ht="18.75" x14ac:dyDescent="0.3">
      <c r="A54" s="464" t="s">
        <v>16</v>
      </c>
      <c r="B54" s="464"/>
      <c r="C54" s="464"/>
      <c r="D54" s="464"/>
      <c r="E54" s="464"/>
      <c r="F54" s="464"/>
      <c r="G54" s="206"/>
      <c r="H54" s="206"/>
      <c r="I54" s="207">
        <f>SUM(I41:I45,I47:I53)</f>
        <v>373.78999999999996</v>
      </c>
      <c r="J54" s="206">
        <v>212.99</v>
      </c>
      <c r="K54" s="208">
        <f>I54-J54</f>
        <v>160.79999999999995</v>
      </c>
    </row>
    <row r="55" spans="1:11" ht="18.75" x14ac:dyDescent="0.3">
      <c r="A55" s="465" t="s">
        <v>33</v>
      </c>
      <c r="B55" s="466"/>
      <c r="C55" s="466"/>
      <c r="D55" s="466"/>
      <c r="E55" s="466"/>
      <c r="F55" s="466"/>
      <c r="G55" s="466"/>
      <c r="H55" s="466"/>
      <c r="I55" s="467"/>
      <c r="J55" s="394"/>
    </row>
    <row r="56" spans="1:11" ht="18.75" x14ac:dyDescent="0.3">
      <c r="A56" s="465" t="s">
        <v>19</v>
      </c>
      <c r="B56" s="466"/>
      <c r="C56" s="466"/>
      <c r="D56" s="466"/>
      <c r="E56" s="466"/>
      <c r="F56" s="466"/>
      <c r="G56" s="466"/>
      <c r="H56" s="466"/>
      <c r="I56" s="467"/>
      <c r="J56" s="394"/>
    </row>
    <row r="57" spans="1:11" ht="18.75" x14ac:dyDescent="0.3">
      <c r="A57" s="243">
        <v>3.76</v>
      </c>
      <c r="B57" s="243">
        <v>3.05</v>
      </c>
      <c r="C57" s="243">
        <v>15.15</v>
      </c>
      <c r="D57" s="243">
        <v>112.3</v>
      </c>
      <c r="E57" s="242" t="str">
        <f>"1/50"</f>
        <v>1/50</v>
      </c>
      <c r="F57" s="242" t="s">
        <v>718</v>
      </c>
      <c r="G57" s="211" t="str">
        <f>IFERROR(VLOOKUP(F57,[1]Реестр!A:K,2,0),"")</f>
        <v/>
      </c>
      <c r="H57" s="210">
        <v>30</v>
      </c>
      <c r="I57" s="207">
        <v>38.369999999999997</v>
      </c>
      <c r="J57" s="394" t="s">
        <v>20</v>
      </c>
    </row>
    <row r="58" spans="1:11" ht="18.75" x14ac:dyDescent="0.3">
      <c r="A58" s="243">
        <v>16.39</v>
      </c>
      <c r="B58" s="243">
        <v>19.7</v>
      </c>
      <c r="C58" s="243">
        <v>41.3</v>
      </c>
      <c r="D58" s="243">
        <v>392.3</v>
      </c>
      <c r="E58" s="242" t="str">
        <f>"4/56"</f>
        <v>4/56</v>
      </c>
      <c r="F58" s="242" t="s">
        <v>705</v>
      </c>
      <c r="G58" s="211"/>
      <c r="H58" s="210">
        <v>200</v>
      </c>
      <c r="I58" s="207">
        <v>101.94</v>
      </c>
      <c r="J58" s="394" t="s">
        <v>537</v>
      </c>
    </row>
    <row r="59" spans="1:11" ht="18.75" x14ac:dyDescent="0.3">
      <c r="A59" s="243">
        <v>0.18</v>
      </c>
      <c r="B59" s="243">
        <v>0.04</v>
      </c>
      <c r="C59" s="243">
        <v>13.75</v>
      </c>
      <c r="D59" s="243">
        <v>53.136642799999997</v>
      </c>
      <c r="E59" s="242" t="str">
        <f>"11/56"</f>
        <v>11/56</v>
      </c>
      <c r="F59" s="242" t="s">
        <v>499</v>
      </c>
      <c r="G59" s="211"/>
      <c r="H59" s="210">
        <v>200</v>
      </c>
      <c r="I59" s="207">
        <v>8.15</v>
      </c>
      <c r="J59" s="394" t="s">
        <v>477</v>
      </c>
    </row>
    <row r="60" spans="1:11" ht="18.75" x14ac:dyDescent="0.3">
      <c r="A60" s="264">
        <v>2</v>
      </c>
      <c r="B60" s="264">
        <v>0.4</v>
      </c>
      <c r="C60" s="264">
        <v>10</v>
      </c>
      <c r="D60" s="264">
        <v>58</v>
      </c>
      <c r="E60" s="381" t="str">
        <f>"-"</f>
        <v>-</v>
      </c>
      <c r="F60" s="381" t="s">
        <v>707</v>
      </c>
      <c r="G60" s="211"/>
      <c r="H60" s="206">
        <v>30</v>
      </c>
      <c r="I60" s="207">
        <v>2.7</v>
      </c>
      <c r="J60" s="394" t="s">
        <v>541</v>
      </c>
      <c r="K60" s="237"/>
    </row>
    <row r="61" spans="1:11" ht="18.75" x14ac:dyDescent="0.3">
      <c r="A61" s="264">
        <v>0.52</v>
      </c>
      <c r="B61" s="264">
        <v>0.52</v>
      </c>
      <c r="C61" s="264">
        <v>15.08</v>
      </c>
      <c r="D61" s="264">
        <v>63.283999999999985</v>
      </c>
      <c r="E61" s="381" t="str">
        <f>"-"</f>
        <v>-</v>
      </c>
      <c r="F61" s="381" t="s">
        <v>708</v>
      </c>
      <c r="G61" s="211"/>
      <c r="H61" s="206">
        <v>130</v>
      </c>
      <c r="I61" s="207">
        <v>25.78</v>
      </c>
      <c r="J61" s="394" t="s">
        <v>475</v>
      </c>
      <c r="K61" s="237"/>
    </row>
    <row r="62" spans="1:11" ht="18.75" x14ac:dyDescent="0.3">
      <c r="A62" s="465" t="s">
        <v>25</v>
      </c>
      <c r="B62" s="466"/>
      <c r="C62" s="466"/>
      <c r="D62" s="466"/>
      <c r="E62" s="466"/>
      <c r="F62" s="466"/>
      <c r="G62" s="466"/>
      <c r="H62" s="466"/>
      <c r="I62" s="467"/>
      <c r="J62" s="201" t="str">
        <f>IFERROR(VLOOKUP(O62,Реестр!#REF!,3,0)*Q62/P62,"")</f>
        <v/>
      </c>
      <c r="K62" s="237"/>
    </row>
    <row r="63" spans="1:11" s="234" customFormat="1" ht="30" x14ac:dyDescent="0.25">
      <c r="A63" s="383">
        <v>2.2999999999999998</v>
      </c>
      <c r="B63" s="383">
        <v>6.01</v>
      </c>
      <c r="C63" s="383">
        <v>4.01</v>
      </c>
      <c r="D63" s="383">
        <v>72.147796</v>
      </c>
      <c r="E63" s="242" t="s">
        <v>709</v>
      </c>
      <c r="F63" s="242" t="s">
        <v>710</v>
      </c>
      <c r="G63" s="211" t="str">
        <f>IFERROR(VLOOKUP(F63,[2]Реестр!A:K,2,0),"")</f>
        <v/>
      </c>
      <c r="H63" s="210">
        <v>100</v>
      </c>
      <c r="I63" s="230">
        <v>56.17</v>
      </c>
      <c r="J63" s="239" t="s">
        <v>538</v>
      </c>
      <c r="K63" s="240"/>
    </row>
    <row r="64" spans="1:11" ht="18.75" x14ac:dyDescent="0.3">
      <c r="A64" s="263">
        <v>4.1100000000000003</v>
      </c>
      <c r="B64" s="263">
        <v>4.7699999999999996</v>
      </c>
      <c r="C64" s="263">
        <v>26.5</v>
      </c>
      <c r="D64" s="263">
        <v>213.5</v>
      </c>
      <c r="E64" s="242" t="s">
        <v>711</v>
      </c>
      <c r="F64" s="242" t="s">
        <v>716</v>
      </c>
      <c r="G64" s="211" t="str">
        <f>IFERROR(VLOOKUP(F64,[2]Реестр!A:K,2,0),"")</f>
        <v/>
      </c>
      <c r="H64" s="206">
        <v>250</v>
      </c>
      <c r="I64" s="207">
        <v>50</v>
      </c>
      <c r="J64" s="394" t="s">
        <v>478</v>
      </c>
      <c r="K64" s="237"/>
    </row>
    <row r="65" spans="1:12" ht="18.75" x14ac:dyDescent="0.3">
      <c r="A65" s="348">
        <v>17.5</v>
      </c>
      <c r="B65" s="348">
        <v>15.6</v>
      </c>
      <c r="C65" s="348">
        <v>42.3</v>
      </c>
      <c r="D65" s="348">
        <v>265.7</v>
      </c>
      <c r="E65" s="242" t="s">
        <v>712</v>
      </c>
      <c r="F65" s="242" t="s">
        <v>713</v>
      </c>
      <c r="G65" s="211" t="str">
        <f>IFERROR(VLOOKUP(F65,[2]Реестр!A:K,2,0),"")</f>
        <v/>
      </c>
      <c r="H65" s="206">
        <v>250</v>
      </c>
      <c r="I65" s="206">
        <v>130.94</v>
      </c>
      <c r="J65" s="394" t="s">
        <v>537</v>
      </c>
      <c r="K65" s="237"/>
    </row>
    <row r="66" spans="1:12" ht="18.75" x14ac:dyDescent="0.3">
      <c r="A66" s="263">
        <v>3.94</v>
      </c>
      <c r="B66" s="263">
        <v>5.1100000000000003</v>
      </c>
      <c r="C66" s="263">
        <v>27.5</v>
      </c>
      <c r="D66" s="263">
        <v>170.19544859999999</v>
      </c>
      <c r="E66" s="242" t="s">
        <v>714</v>
      </c>
      <c r="F66" s="386" t="s">
        <v>328</v>
      </c>
      <c r="G66" s="211">
        <f>IFERROR(VLOOKUP(F66,[2]Реестр!A:K,2,0),"")</f>
        <v>200</v>
      </c>
      <c r="H66" s="206">
        <v>200</v>
      </c>
      <c r="I66" s="207">
        <v>19.54</v>
      </c>
      <c r="J66" s="394" t="s">
        <v>29</v>
      </c>
      <c r="K66" s="237"/>
    </row>
    <row r="67" spans="1:12" ht="18.75" x14ac:dyDescent="0.3">
      <c r="A67" s="264">
        <v>0.14000000000000001</v>
      </c>
      <c r="B67" s="264">
        <v>0.1</v>
      </c>
      <c r="C67" s="264">
        <v>1.5</v>
      </c>
      <c r="D67" s="264">
        <v>83.962620000000015</v>
      </c>
      <c r="E67" s="242" t="s">
        <v>471</v>
      </c>
      <c r="F67" s="242" t="s">
        <v>715</v>
      </c>
      <c r="G67" s="211" t="str">
        <f>IFERROR(VLOOKUP(F67,[2]Реестр!A:K,2,0),"")</f>
        <v/>
      </c>
      <c r="H67" s="206">
        <v>50</v>
      </c>
      <c r="I67" s="207">
        <v>4.5</v>
      </c>
      <c r="J67" s="394" t="s">
        <v>479</v>
      </c>
      <c r="K67" s="208"/>
    </row>
    <row r="68" spans="1:12" ht="18.75" x14ac:dyDescent="0.3">
      <c r="A68" s="264">
        <v>3.3</v>
      </c>
      <c r="B68" s="264">
        <v>0.3</v>
      </c>
      <c r="C68" s="264">
        <v>23.4</v>
      </c>
      <c r="D68" s="264">
        <v>112</v>
      </c>
      <c r="E68" s="381" t="s">
        <v>471</v>
      </c>
      <c r="F68" s="381" t="s">
        <v>707</v>
      </c>
      <c r="G68" s="211" t="str">
        <f>IFERROR(VLOOKUP(F68,[2]Реестр!A:K,2,0),"")</f>
        <v/>
      </c>
      <c r="H68" s="206">
        <v>50</v>
      </c>
      <c r="I68" s="207">
        <v>4.25</v>
      </c>
      <c r="J68" s="394" t="s">
        <v>23</v>
      </c>
    </row>
    <row r="69" spans="1:12" ht="18.75" x14ac:dyDescent="0.3">
      <c r="A69" s="209"/>
      <c r="B69" s="209"/>
      <c r="C69" s="209"/>
      <c r="D69" s="209"/>
      <c r="E69" s="218"/>
      <c r="F69" s="217"/>
      <c r="G69" s="211"/>
      <c r="H69" s="206"/>
      <c r="I69" s="207"/>
      <c r="J69" s="394" t="s">
        <v>540</v>
      </c>
    </row>
    <row r="70" spans="1:12" ht="18" customHeight="1" x14ac:dyDescent="0.3">
      <c r="A70" s="464" t="s">
        <v>16</v>
      </c>
      <c r="B70" s="464"/>
      <c r="C70" s="464"/>
      <c r="D70" s="464"/>
      <c r="E70" s="464"/>
      <c r="F70" s="464"/>
      <c r="G70" s="206"/>
      <c r="H70" s="206"/>
      <c r="I70" s="207">
        <f>SUM(I57:I61)+SUM(I63:I69)</f>
        <v>442.34000000000003</v>
      </c>
      <c r="J70" s="201">
        <v>246.31</v>
      </c>
      <c r="K70" s="208">
        <f>J70-I70</f>
        <v>-196.03000000000003</v>
      </c>
    </row>
    <row r="71" spans="1:12" ht="18.75" x14ac:dyDescent="0.3">
      <c r="A71" s="465" t="s">
        <v>34</v>
      </c>
      <c r="B71" s="466"/>
      <c r="C71" s="466"/>
      <c r="D71" s="466"/>
      <c r="E71" s="466"/>
      <c r="F71" s="466"/>
      <c r="G71" s="466"/>
      <c r="H71" s="466"/>
      <c r="I71" s="467"/>
      <c r="J71" s="206"/>
      <c r="K71" s="208"/>
    </row>
    <row r="72" spans="1:12" ht="18.75" x14ac:dyDescent="0.25">
      <c r="A72" s="263">
        <v>0.48</v>
      </c>
      <c r="B72" s="263">
        <v>2.37</v>
      </c>
      <c r="C72" s="263">
        <v>3.09</v>
      </c>
      <c r="D72" s="263">
        <v>36.64</v>
      </c>
      <c r="E72" s="384" t="str">
        <f>"7/26"</f>
        <v>7/26</v>
      </c>
      <c r="F72" s="385" t="s">
        <v>717</v>
      </c>
      <c r="G72" s="211" t="str">
        <f>IFERROR(VLOOKUP(F72,[1]Реестр!A:K,2,0),"")</f>
        <v/>
      </c>
      <c r="H72" s="210">
        <v>30</v>
      </c>
      <c r="I72" s="230">
        <v>19.260000000000002</v>
      </c>
    </row>
    <row r="73" spans="1:12" ht="18.75" x14ac:dyDescent="0.3">
      <c r="A73" s="348">
        <v>19.440000000000001</v>
      </c>
      <c r="B73" s="348">
        <v>19.420000000000002</v>
      </c>
      <c r="C73" s="348">
        <v>57.63</v>
      </c>
      <c r="D73" s="348">
        <v>436.2</v>
      </c>
      <c r="E73" s="242" t="s">
        <v>712</v>
      </c>
      <c r="F73" s="242" t="s">
        <v>713</v>
      </c>
      <c r="G73" s="211" t="str">
        <f>IFERROR(VLOOKUP(F73,[2]Реестр!A:K,2,0),"")</f>
        <v/>
      </c>
      <c r="H73" s="206">
        <v>250</v>
      </c>
      <c r="I73" s="206">
        <v>130.94</v>
      </c>
    </row>
    <row r="74" spans="1:12" ht="18.75" x14ac:dyDescent="0.3">
      <c r="A74" s="263">
        <v>0.18</v>
      </c>
      <c r="B74" s="263">
        <v>0.05</v>
      </c>
      <c r="C74" s="263">
        <v>0.32</v>
      </c>
      <c r="D74" s="263">
        <v>37.582527999999996</v>
      </c>
      <c r="E74" s="242" t="s">
        <v>714</v>
      </c>
      <c r="F74" s="386" t="s">
        <v>328</v>
      </c>
      <c r="G74" s="211">
        <f>IFERROR(VLOOKUP(F74,[2]Реестр!A:K,2,0),"")</f>
        <v>200</v>
      </c>
      <c r="H74" s="206">
        <v>200</v>
      </c>
      <c r="I74" s="207">
        <v>19.54</v>
      </c>
    </row>
    <row r="75" spans="1:12" ht="18.75" x14ac:dyDescent="0.3">
      <c r="A75" s="264">
        <v>3.3</v>
      </c>
      <c r="B75" s="264">
        <v>0.3</v>
      </c>
      <c r="C75" s="264">
        <v>23.4</v>
      </c>
      <c r="D75" s="264">
        <v>112</v>
      </c>
      <c r="E75" s="242" t="str">
        <f>"-"</f>
        <v>-</v>
      </c>
      <c r="F75" s="387" t="s">
        <v>715</v>
      </c>
      <c r="G75" s="211" t="str">
        <f>IFERROR(VLOOKUP(F75,[2]Реестр!A:K,2,0),"")</f>
        <v/>
      </c>
      <c r="H75" s="206">
        <v>50</v>
      </c>
      <c r="I75" s="207">
        <v>4.5</v>
      </c>
    </row>
    <row r="76" spans="1:12" ht="18.75" x14ac:dyDescent="0.3">
      <c r="A76" s="264">
        <v>2</v>
      </c>
      <c r="B76" s="264">
        <v>0.4</v>
      </c>
      <c r="C76" s="264">
        <v>10</v>
      </c>
      <c r="D76" s="264">
        <v>58</v>
      </c>
      <c r="E76" s="381" t="str">
        <f>"-"</f>
        <v>-</v>
      </c>
      <c r="F76" s="381" t="s">
        <v>707</v>
      </c>
      <c r="G76" s="211" t="str">
        <f>IFERROR(VLOOKUP(F76,[2]Реестр!A:K,2,0),"")</f>
        <v/>
      </c>
      <c r="H76" s="206">
        <v>30</v>
      </c>
      <c r="I76" s="207">
        <v>2.7</v>
      </c>
    </row>
    <row r="77" spans="1:12" ht="18.75" x14ac:dyDescent="0.3">
      <c r="A77" s="196"/>
      <c r="B77" s="196"/>
      <c r="C77" s="196"/>
      <c r="D77" s="196"/>
      <c r="E77" s="197"/>
      <c r="F77" s="204"/>
      <c r="G77" s="199"/>
      <c r="H77" s="200"/>
      <c r="I77" s="203"/>
    </row>
    <row r="78" spans="1:12" ht="18.75" x14ac:dyDescent="0.3">
      <c r="A78" s="453" t="s">
        <v>16</v>
      </c>
      <c r="B78" s="454"/>
      <c r="C78" s="454"/>
      <c r="D78" s="454"/>
      <c r="E78" s="454"/>
      <c r="F78" s="455"/>
      <c r="G78" s="205"/>
      <c r="H78" s="206"/>
      <c r="I78" s="207">
        <f>SUM(I72:I77)</f>
        <v>176.93999999999997</v>
      </c>
      <c r="J78" s="215">
        <v>98.52</v>
      </c>
      <c r="L78" s="208">
        <f>J78-I78</f>
        <v>-78.419999999999973</v>
      </c>
    </row>
    <row r="79" spans="1:12" ht="18.75" x14ac:dyDescent="0.25">
      <c r="A79" s="477" t="s">
        <v>35</v>
      </c>
      <c r="B79" s="478"/>
      <c r="C79" s="478"/>
      <c r="D79" s="478"/>
      <c r="E79" s="478"/>
      <c r="F79" s="478"/>
      <c r="G79" s="478"/>
      <c r="H79" s="478"/>
      <c r="I79" s="479"/>
    </row>
    <row r="80" spans="1:12" ht="18.75" x14ac:dyDescent="0.3">
      <c r="A80" s="219">
        <v>7.7</v>
      </c>
      <c r="B80" s="219">
        <v>7.42</v>
      </c>
      <c r="C80" s="219">
        <v>32.090000000000003</v>
      </c>
      <c r="D80" s="219">
        <v>225.88</v>
      </c>
      <c r="E80" s="416" t="s">
        <v>408</v>
      </c>
      <c r="F80" s="406" t="s">
        <v>529</v>
      </c>
      <c r="G80" s="211">
        <f>IFERROR(VLOOKUP(F80,[2]Реестр!A:K,2,0),"")</f>
        <v>100</v>
      </c>
      <c r="H80" s="206">
        <v>80</v>
      </c>
      <c r="I80" s="207">
        <v>50</v>
      </c>
      <c r="K80" s="208"/>
    </row>
    <row r="81" spans="1:12" ht="18.75" x14ac:dyDescent="0.3">
      <c r="A81" s="453" t="s">
        <v>16</v>
      </c>
      <c r="B81" s="454"/>
      <c r="C81" s="454"/>
      <c r="D81" s="454"/>
      <c r="E81" s="454"/>
      <c r="F81" s="455"/>
      <c r="G81" s="205"/>
      <c r="H81" s="206"/>
      <c r="I81" s="207">
        <f>I80</f>
        <v>50</v>
      </c>
      <c r="J81" s="215">
        <v>29</v>
      </c>
    </row>
    <row r="82" spans="1:12" ht="18.75" x14ac:dyDescent="0.3">
      <c r="A82" s="465" t="s">
        <v>36</v>
      </c>
      <c r="B82" s="466"/>
      <c r="C82" s="466"/>
      <c r="D82" s="466"/>
      <c r="E82" s="466"/>
      <c r="F82" s="466"/>
      <c r="G82" s="466"/>
      <c r="H82" s="466"/>
      <c r="I82" s="467"/>
    </row>
    <row r="83" spans="1:12" ht="18.75" x14ac:dyDescent="0.3">
      <c r="A83" s="263">
        <v>4.1100000000000003</v>
      </c>
      <c r="B83" s="263">
        <v>4.7699999999999996</v>
      </c>
      <c r="C83" s="263">
        <v>26.5</v>
      </c>
      <c r="D83" s="263">
        <v>213.5</v>
      </c>
      <c r="E83" s="242" t="s">
        <v>711</v>
      </c>
      <c r="F83" s="242" t="s">
        <v>716</v>
      </c>
      <c r="G83" s="211" t="str">
        <f>IFERROR(VLOOKUP(F83,[2]Реестр!A:K,2,0),"")</f>
        <v/>
      </c>
      <c r="H83" s="206">
        <v>250</v>
      </c>
      <c r="I83" s="207">
        <v>50</v>
      </c>
    </row>
    <row r="84" spans="1:12" ht="18.75" x14ac:dyDescent="0.3">
      <c r="A84" s="453" t="s">
        <v>16</v>
      </c>
      <c r="B84" s="454"/>
      <c r="C84" s="454"/>
      <c r="D84" s="454"/>
      <c r="E84" s="454"/>
      <c r="F84" s="455"/>
      <c r="G84" s="205"/>
      <c r="H84" s="206"/>
      <c r="I84" s="207">
        <f>SUM(I83:I83)</f>
        <v>50</v>
      </c>
      <c r="J84" s="215">
        <v>27</v>
      </c>
    </row>
    <row r="85" spans="1:12" ht="18.75" x14ac:dyDescent="0.3">
      <c r="A85" s="465" t="s">
        <v>503</v>
      </c>
      <c r="B85" s="466"/>
      <c r="C85" s="466"/>
      <c r="D85" s="466"/>
      <c r="E85" s="466"/>
      <c r="F85" s="466"/>
      <c r="G85" s="466"/>
      <c r="H85" s="466"/>
      <c r="I85" s="467"/>
    </row>
    <row r="86" spans="1:12" s="234" customFormat="1" ht="27" customHeight="1" x14ac:dyDescent="0.25">
      <c r="A86" s="383">
        <v>2.2999999999999998</v>
      </c>
      <c r="B86" s="383">
        <v>6.01</v>
      </c>
      <c r="C86" s="383">
        <v>4.01</v>
      </c>
      <c r="D86" s="383">
        <v>72.147796</v>
      </c>
      <c r="E86" s="242" t="s">
        <v>709</v>
      </c>
      <c r="F86" s="242" t="s">
        <v>710</v>
      </c>
      <c r="G86" s="211" t="str">
        <f>IFERROR(VLOOKUP(F86,[2]Реестр!A:K,2,0),"")</f>
        <v/>
      </c>
      <c r="H86" s="210">
        <v>100</v>
      </c>
      <c r="I86" s="230">
        <v>56.17</v>
      </c>
      <c r="J86" s="268"/>
    </row>
    <row r="87" spans="1:12" ht="18.75" x14ac:dyDescent="0.3">
      <c r="A87" s="263">
        <v>4.1100000000000003</v>
      </c>
      <c r="B87" s="263">
        <v>4.7699999999999996</v>
      </c>
      <c r="C87" s="263">
        <v>26.5</v>
      </c>
      <c r="D87" s="263">
        <v>213.5</v>
      </c>
      <c r="E87" s="242" t="s">
        <v>711</v>
      </c>
      <c r="F87" s="242" t="s">
        <v>716</v>
      </c>
      <c r="G87" s="211" t="str">
        <f>IFERROR(VLOOKUP(F87,[2]Реестр!A:K,2,0),"")</f>
        <v/>
      </c>
      <c r="H87" s="206">
        <v>250</v>
      </c>
      <c r="I87" s="207">
        <v>50</v>
      </c>
    </row>
    <row r="88" spans="1:12" ht="18.75" x14ac:dyDescent="0.3">
      <c r="A88" s="348">
        <v>17.5</v>
      </c>
      <c r="B88" s="348">
        <v>15.6</v>
      </c>
      <c r="C88" s="348">
        <v>42.3</v>
      </c>
      <c r="D88" s="348">
        <v>265.7</v>
      </c>
      <c r="E88" s="242" t="s">
        <v>712</v>
      </c>
      <c r="F88" s="242" t="s">
        <v>713</v>
      </c>
      <c r="G88" s="211" t="str">
        <f>IFERROR(VLOOKUP(F88,[2]Реестр!A:K,2,0),"")</f>
        <v/>
      </c>
      <c r="H88" s="206">
        <v>250</v>
      </c>
      <c r="I88" s="206">
        <v>130.94</v>
      </c>
    </row>
    <row r="89" spans="1:12" ht="18.75" x14ac:dyDescent="0.3">
      <c r="A89" s="263">
        <v>3.94</v>
      </c>
      <c r="B89" s="263">
        <v>5.1100000000000003</v>
      </c>
      <c r="C89" s="263">
        <v>27.5</v>
      </c>
      <c r="D89" s="263">
        <v>170.19544859999999</v>
      </c>
      <c r="E89" s="242" t="s">
        <v>714</v>
      </c>
      <c r="F89" s="386" t="s">
        <v>328</v>
      </c>
      <c r="G89" s="211">
        <f>IFERROR(VLOOKUP(F89,[2]Реестр!A:K,2,0),"")</f>
        <v>200</v>
      </c>
      <c r="H89" s="206">
        <v>200</v>
      </c>
      <c r="I89" s="207">
        <v>19.54</v>
      </c>
    </row>
    <row r="90" spans="1:12" ht="18.75" x14ac:dyDescent="0.3">
      <c r="A90" s="264">
        <v>0.14000000000000001</v>
      </c>
      <c r="B90" s="264">
        <v>0.1</v>
      </c>
      <c r="C90" s="264">
        <v>1.5</v>
      </c>
      <c r="D90" s="264">
        <v>83.962620000000015</v>
      </c>
      <c r="E90" s="242" t="s">
        <v>471</v>
      </c>
      <c r="F90" s="242" t="s">
        <v>715</v>
      </c>
      <c r="G90" s="211" t="str">
        <f>IFERROR(VLOOKUP(F90,[2]Реестр!A:K,2,0),"")</f>
        <v/>
      </c>
      <c r="H90" s="206">
        <v>50</v>
      </c>
      <c r="I90" s="207">
        <v>4.5</v>
      </c>
    </row>
    <row r="91" spans="1:12" ht="18.75" x14ac:dyDescent="0.3">
      <c r="A91" s="264">
        <v>3.3</v>
      </c>
      <c r="B91" s="264">
        <v>0.3</v>
      </c>
      <c r="C91" s="264">
        <v>23.4</v>
      </c>
      <c r="D91" s="264">
        <v>112</v>
      </c>
      <c r="E91" s="381" t="s">
        <v>471</v>
      </c>
      <c r="F91" s="381" t="s">
        <v>707</v>
      </c>
      <c r="G91" s="211" t="str">
        <f>IFERROR(VLOOKUP(F91,[2]Реестр!A:K,2,0),"")</f>
        <v/>
      </c>
      <c r="H91" s="206">
        <v>50</v>
      </c>
      <c r="I91" s="207">
        <v>4.25</v>
      </c>
    </row>
    <row r="92" spans="1:12" ht="18.75" x14ac:dyDescent="0.3">
      <c r="A92" s="196"/>
      <c r="B92" s="196"/>
      <c r="C92" s="196"/>
      <c r="D92" s="196"/>
      <c r="E92" s="214"/>
      <c r="F92" s="204"/>
      <c r="G92" s="199"/>
      <c r="H92" s="200"/>
      <c r="I92" s="203"/>
      <c r="K92" s="208"/>
    </row>
    <row r="93" spans="1:12" ht="18.75" x14ac:dyDescent="0.3">
      <c r="A93" s="464" t="s">
        <v>16</v>
      </c>
      <c r="B93" s="464"/>
      <c r="C93" s="464"/>
      <c r="D93" s="464"/>
      <c r="E93" s="464"/>
      <c r="F93" s="464"/>
      <c r="G93" s="205"/>
      <c r="H93" s="206"/>
      <c r="I93" s="207">
        <f>SUM(I86:I92)</f>
        <v>265.40000000000003</v>
      </c>
      <c r="J93" s="215">
        <v>147.79</v>
      </c>
      <c r="L93" s="208">
        <f>J93-I93</f>
        <v>-117.61000000000004</v>
      </c>
    </row>
    <row r="94" spans="1:12" ht="18.75" hidden="1" x14ac:dyDescent="0.3">
      <c r="A94" s="462" t="s">
        <v>544</v>
      </c>
      <c r="B94" s="462"/>
      <c r="C94" s="462"/>
      <c r="D94" s="462"/>
      <c r="E94" s="462"/>
      <c r="F94" s="462"/>
      <c r="G94" s="462"/>
      <c r="H94" s="462"/>
      <c r="I94" s="462"/>
      <c r="K94" s="208"/>
    </row>
    <row r="95" spans="1:12" ht="18.75" hidden="1" customHeight="1" x14ac:dyDescent="0.25">
      <c r="A95" s="209">
        <f>IFERROR(VLOOKUP(F95,[1]Реестр!A:K,3,0)*H95/G95,"")</f>
        <v>5.08</v>
      </c>
      <c r="B95" s="209">
        <f>IFERROR(VLOOKUP(F95,[1]Реестр!A:K,4,0)*H95/G95,"")</f>
        <v>11.55</v>
      </c>
      <c r="C95" s="209">
        <f>IFERROR(VLOOKUP(F95,[1]Реестр!A:K,5,0)*H95/G95,"")</f>
        <v>9.9700000000000006</v>
      </c>
      <c r="D95" s="209">
        <f>IFERROR(VLOOKUP(F95,[1]Реестр!A:K,6,0)*H95/G95,"")</f>
        <v>164.15</v>
      </c>
      <c r="E95" s="210" t="str">
        <f>IFERROR(VLOOKUP(F95,[1]Реестр!A:K,11,0),"")</f>
        <v>1*51</v>
      </c>
      <c r="F95" s="398" t="s">
        <v>91</v>
      </c>
      <c r="G95" s="211" t="str">
        <f>IFERROR(VLOOKUP(F95,[1]Реестр!A:K,2,0),"")</f>
        <v>45</v>
      </c>
      <c r="H95" s="143">
        <v>45</v>
      </c>
      <c r="I95" s="450">
        <v>149.52000000000001</v>
      </c>
      <c r="K95" s="208"/>
    </row>
    <row r="96" spans="1:12" ht="33.75" hidden="1" customHeight="1" x14ac:dyDescent="0.25">
      <c r="A96" s="209">
        <f>IFERROR(VLOOKUP(F96,[1]Реестр!A:K,3,0)*H96/G96,"")</f>
        <v>6.3749999999999991</v>
      </c>
      <c r="B96" s="209">
        <f>IFERROR(VLOOKUP(F96,[1]Реестр!A:K,4,0)*H96/G96,"")</f>
        <v>5.7499999999999991</v>
      </c>
      <c r="C96" s="209">
        <f>IFERROR(VLOOKUP(F96,[1]Реестр!A:K,5,0)*H96/G96,"")</f>
        <v>0.375</v>
      </c>
      <c r="D96" s="209">
        <f>IFERROR(VLOOKUP(F96,[1]Реестр!A:K,6,0)*H96/G96,"")</f>
        <v>78.75</v>
      </c>
      <c r="E96" s="210" t="str">
        <f>IFERROR(VLOOKUP(F96,[1]Реестр!A:K,11,0),"")</f>
        <v>4*57</v>
      </c>
      <c r="F96" s="398" t="s">
        <v>162</v>
      </c>
      <c r="G96" s="211" t="str">
        <f>IFERROR(VLOOKUP(F96,[1]Реестр!A:K,2,0),"")</f>
        <v>40</v>
      </c>
      <c r="H96" s="143">
        <v>50</v>
      </c>
      <c r="I96" s="451"/>
      <c r="K96" s="208"/>
    </row>
    <row r="97" spans="1:12" ht="45" hidden="1" customHeight="1" x14ac:dyDescent="0.25">
      <c r="A97" s="243">
        <v>6.26</v>
      </c>
      <c r="B97" s="243">
        <v>5.9</v>
      </c>
      <c r="C97" s="243">
        <v>28.4</v>
      </c>
      <c r="D97" s="243">
        <v>194.19400152</v>
      </c>
      <c r="E97" s="228" t="str">
        <f>"2/68"</f>
        <v>2/68</v>
      </c>
      <c r="F97" s="228" t="s">
        <v>666</v>
      </c>
      <c r="G97" s="211" t="str">
        <f>IFERROR(VLOOKUP(F97,[1]Реестр!A:K,2,0),"")</f>
        <v/>
      </c>
      <c r="H97" s="143">
        <v>200</v>
      </c>
      <c r="I97" s="451"/>
      <c r="K97" s="208"/>
    </row>
    <row r="98" spans="1:12" ht="30" hidden="1" customHeight="1" x14ac:dyDescent="0.25">
      <c r="A98" s="243">
        <v>2.74</v>
      </c>
      <c r="B98" s="243">
        <v>2.2000000000000002</v>
      </c>
      <c r="C98" s="243">
        <v>4.8899999999999997</v>
      </c>
      <c r="D98" s="243">
        <v>49.717531084999983</v>
      </c>
      <c r="E98" s="228" t="str">
        <f>"11/59 (2004 № 692)"</f>
        <v>11/59 (2004 № 692)</v>
      </c>
      <c r="F98" s="228" t="s">
        <v>667</v>
      </c>
      <c r="G98" s="211">
        <f>IFERROR(VLOOKUP(F98,[1]Реестр!A:K,2,0),"")</f>
        <v>200</v>
      </c>
      <c r="H98" s="143" t="str">
        <f>"200"</f>
        <v>200</v>
      </c>
      <c r="I98" s="451"/>
      <c r="K98" s="208"/>
    </row>
    <row r="99" spans="1:12" ht="18.75" hidden="1" customHeight="1" x14ac:dyDescent="0.25">
      <c r="A99" s="209">
        <f>IFERROR(VLOOKUP(F99,[1]Реестр!A:K,3,0)*H99/G99,"")</f>
        <v>1.32</v>
      </c>
      <c r="B99" s="209">
        <f>IFERROR(VLOOKUP(F99,[1]Реестр!A:K,4,0)*H99/G99,"")</f>
        <v>0.24</v>
      </c>
      <c r="C99" s="209">
        <f>IFERROR(VLOOKUP(F99,[1]Реестр!A:K,5,0)*H99/G99,"")</f>
        <v>6.68</v>
      </c>
      <c r="D99" s="209">
        <f>IFERROR(VLOOKUP(F99,[1]Реестр!A:K,6,0)*H99/G99,"")</f>
        <v>38.6</v>
      </c>
      <c r="E99" s="210" t="str">
        <f>IFERROR(VLOOKUP(F99,[1]Реестр!A:K,11,0),"")</f>
        <v>-</v>
      </c>
      <c r="F99" s="217" t="s">
        <v>65</v>
      </c>
      <c r="G99" s="211" t="str">
        <f>IFERROR(VLOOKUP(F99,[1]Реестр!A:K,2,0),"")</f>
        <v>100</v>
      </c>
      <c r="H99" s="229" t="str">
        <f>"20"</f>
        <v>20</v>
      </c>
      <c r="I99" s="452"/>
      <c r="K99" s="208"/>
    </row>
    <row r="100" spans="1:12" ht="18.75" hidden="1" x14ac:dyDescent="0.3">
      <c r="A100" s="464" t="s">
        <v>16</v>
      </c>
      <c r="B100" s="464"/>
      <c r="C100" s="464"/>
      <c r="D100" s="464"/>
      <c r="E100" s="464"/>
      <c r="F100" s="464"/>
      <c r="G100" s="205"/>
      <c r="H100" s="206"/>
      <c r="I100" s="207">
        <f>SUM(I95:I99)</f>
        <v>149.52000000000001</v>
      </c>
      <c r="K100" s="208"/>
    </row>
    <row r="101" spans="1:12" ht="18.75" hidden="1" x14ac:dyDescent="0.3">
      <c r="A101" s="462" t="s">
        <v>545</v>
      </c>
      <c r="B101" s="462"/>
      <c r="C101" s="462"/>
      <c r="D101" s="462"/>
      <c r="E101" s="462"/>
      <c r="F101" s="462"/>
      <c r="G101" s="462"/>
      <c r="H101" s="462"/>
      <c r="I101" s="462"/>
      <c r="J101" s="215">
        <v>85.2</v>
      </c>
      <c r="K101" s="208"/>
      <c r="L101" s="208">
        <f>J101-I101</f>
        <v>85.2</v>
      </c>
    </row>
    <row r="102" spans="1:12" ht="18.75" hidden="1" customHeight="1" x14ac:dyDescent="0.25">
      <c r="A102" s="209">
        <f>IFERROR(VLOOKUP(F102,[1]Реестр!A:K,3,0)*H102/G102,"")</f>
        <v>6.3749999999999991</v>
      </c>
      <c r="B102" s="209">
        <f>IFERROR(VLOOKUP(F102,[1]Реестр!A:K,4,0)*H102/G102,"")</f>
        <v>5.7499999999999991</v>
      </c>
      <c r="C102" s="209">
        <f>IFERROR(VLOOKUP(F102,[1]Реестр!A:K,5,0)*H102/G102,"")</f>
        <v>0.375</v>
      </c>
      <c r="D102" s="209">
        <f>IFERROR(VLOOKUP(F102,[1]Реестр!A:K,6,0)*H102/G102,"")</f>
        <v>78.75</v>
      </c>
      <c r="E102" s="210" t="str">
        <f>IFERROR(VLOOKUP(F102,[1]Реестр!A:K,11,0),"")</f>
        <v>4*57</v>
      </c>
      <c r="F102" s="398" t="s">
        <v>162</v>
      </c>
      <c r="G102" s="211" t="str">
        <f>IFERROR(VLOOKUP(F102,[1]Реестр!A:K,2,0),"")</f>
        <v>40</v>
      </c>
      <c r="H102" s="143">
        <v>50</v>
      </c>
      <c r="I102" s="450">
        <v>149.52000000000001</v>
      </c>
      <c r="K102" s="208"/>
    </row>
    <row r="103" spans="1:12" ht="18.75" hidden="1" customHeight="1" x14ac:dyDescent="0.25">
      <c r="A103" s="243">
        <v>6.03</v>
      </c>
      <c r="B103" s="243">
        <v>12.83</v>
      </c>
      <c r="C103" s="243">
        <v>34.92</v>
      </c>
      <c r="D103" s="243">
        <v>275.69060599999995</v>
      </c>
      <c r="E103" s="228" t="str">
        <f>"2/78"</f>
        <v>2/78</v>
      </c>
      <c r="F103" s="228" t="s">
        <v>668</v>
      </c>
      <c r="G103" s="211" t="str">
        <f>IFERROR(VLOOKUP(F103,[1]Реестр!A:K,2,0),"")</f>
        <v/>
      </c>
      <c r="H103" s="143">
        <v>200</v>
      </c>
      <c r="I103" s="451"/>
      <c r="K103" s="208"/>
    </row>
    <row r="104" spans="1:12" ht="18.75" hidden="1" customHeight="1" x14ac:dyDescent="0.25">
      <c r="A104" s="209">
        <f>IFERROR(VLOOKUP(F104,[1]Реестр!A:K,3,0)*H104/G104,"")</f>
        <v>0.17499999999999999</v>
      </c>
      <c r="B104" s="209">
        <f>IFERROR(VLOOKUP(F104,[1]Реестр!A:K,4,0)*H104/G104,"")</f>
        <v>0.105</v>
      </c>
      <c r="C104" s="209">
        <f>IFERROR(VLOOKUP(F104,[1]Реестр!A:K,5,0)*H104/G104,"")</f>
        <v>10.01</v>
      </c>
      <c r="D104" s="209">
        <f>IFERROR(VLOOKUP(F104,[1]Реестр!A:K,6,0)*H104/G104,"")</f>
        <v>40.6</v>
      </c>
      <c r="E104" s="210" t="str">
        <f>IFERROR(VLOOKUP(F104,[1]Реестр!A:K,11,0),"")</f>
        <v>12*2</v>
      </c>
      <c r="F104" s="398" t="s">
        <v>371</v>
      </c>
      <c r="G104" s="211" t="str">
        <f>IFERROR(VLOOKUP(F104,[1]Реестр!A:K,2,0),"")</f>
        <v>100</v>
      </c>
      <c r="H104" s="143">
        <v>35</v>
      </c>
      <c r="I104" s="451"/>
      <c r="K104" s="208"/>
    </row>
    <row r="105" spans="1:12" ht="18.75" hidden="1" customHeight="1" x14ac:dyDescent="0.25">
      <c r="A105" s="243">
        <v>0.18</v>
      </c>
      <c r="B105" s="243">
        <v>0.04</v>
      </c>
      <c r="C105" s="243">
        <v>13.75</v>
      </c>
      <c r="D105" s="243">
        <v>53.136642799999997</v>
      </c>
      <c r="E105" s="210" t="s">
        <v>353</v>
      </c>
      <c r="F105" s="228" t="s">
        <v>563</v>
      </c>
      <c r="G105" s="211" t="str">
        <f>IFERROR(VLOOKUP(F105,[1]Реестр!A:K,2,0),"")</f>
        <v/>
      </c>
      <c r="H105" s="143" t="str">
        <f>"200"</f>
        <v>200</v>
      </c>
      <c r="I105" s="451"/>
      <c r="K105" s="208"/>
    </row>
    <row r="106" spans="1:12" ht="18.75" hidden="1" customHeight="1" x14ac:dyDescent="0.25">
      <c r="A106" s="209">
        <f>IFERROR(VLOOKUP(F106,[1]Реестр!A:K,3,0)*H106/G106,"")</f>
        <v>1.32</v>
      </c>
      <c r="B106" s="209">
        <f>IFERROR(VLOOKUP(F106,[1]Реестр!A:K,4,0)*H106/G106,"")</f>
        <v>0.24</v>
      </c>
      <c r="C106" s="209">
        <f>IFERROR(VLOOKUP(F106,[1]Реестр!A:K,5,0)*H106/G106,"")</f>
        <v>6.68</v>
      </c>
      <c r="D106" s="209">
        <f>IFERROR(VLOOKUP(F106,[1]Реестр!A:K,6,0)*H106/G106,"")</f>
        <v>38.6</v>
      </c>
      <c r="E106" s="210" t="str">
        <f>IFERROR(VLOOKUP(F106,[1]Реестр!A:K,11,0),"")</f>
        <v>-</v>
      </c>
      <c r="F106" s="217" t="s">
        <v>65</v>
      </c>
      <c r="G106" s="211" t="str">
        <f>IFERROR(VLOOKUP(F106,[1]Реестр!A:K,2,0),"")</f>
        <v>100</v>
      </c>
      <c r="H106" s="229" t="str">
        <f>"20"</f>
        <v>20</v>
      </c>
      <c r="I106" s="451"/>
      <c r="K106" s="208"/>
    </row>
    <row r="107" spans="1:12" ht="18.75" hidden="1" customHeight="1" x14ac:dyDescent="0.3">
      <c r="A107" s="209">
        <f>IFERROR(VLOOKUP(F107,[1]Реестр!A:K,3,0)*H107/G107,"")</f>
        <v>1.32</v>
      </c>
      <c r="B107" s="209">
        <f>IFERROR(VLOOKUP(F107,[1]Реестр!A:K,4,0)*H107/G107,"")</f>
        <v>0.12</v>
      </c>
      <c r="C107" s="209">
        <f>IFERROR(VLOOKUP(F107,[1]Реестр!A:K,5,0)*H107/G107,"")</f>
        <v>9.36</v>
      </c>
      <c r="D107" s="209">
        <f>IFERROR(VLOOKUP(F107,[1]Реестр!A:K,6,0)*H107/G107,"")</f>
        <v>44.8</v>
      </c>
      <c r="E107" s="210" t="str">
        <f>IFERROR(VLOOKUP(F107,[1]Реестр!A:K,11,0),"")</f>
        <v>-</v>
      </c>
      <c r="F107" s="217" t="s">
        <v>66</v>
      </c>
      <c r="G107" s="211" t="str">
        <f>IFERROR(VLOOKUP(F107,[1]Реестр!A:K,2,0),"")</f>
        <v>100</v>
      </c>
      <c r="H107" s="206">
        <v>20</v>
      </c>
      <c r="I107" s="452"/>
      <c r="K107" s="208"/>
    </row>
    <row r="108" spans="1:12" ht="18.75" hidden="1" x14ac:dyDescent="0.3">
      <c r="A108" s="464" t="s">
        <v>16</v>
      </c>
      <c r="B108" s="464"/>
      <c r="C108" s="464"/>
      <c r="D108" s="464"/>
      <c r="E108" s="464"/>
      <c r="F108" s="464"/>
      <c r="G108" s="205"/>
      <c r="H108" s="206"/>
      <c r="I108" s="207">
        <f>SUM(I102)</f>
        <v>149.52000000000001</v>
      </c>
      <c r="K108" s="208"/>
    </row>
    <row r="109" spans="1:12" ht="18.75" hidden="1" x14ac:dyDescent="0.3">
      <c r="A109" s="462" t="s">
        <v>566</v>
      </c>
      <c r="B109" s="462"/>
      <c r="C109" s="462"/>
      <c r="D109" s="462"/>
      <c r="E109" s="462"/>
      <c r="F109" s="462"/>
      <c r="G109" s="462"/>
      <c r="H109" s="462"/>
      <c r="I109" s="462"/>
      <c r="K109" s="208"/>
    </row>
    <row r="110" spans="1:12" ht="18.75" hidden="1" customHeight="1" x14ac:dyDescent="0.25">
      <c r="A110" s="367">
        <v>1.03</v>
      </c>
      <c r="B110" s="396">
        <v>4.7699999999999996</v>
      </c>
      <c r="C110" s="396">
        <v>6.38</v>
      </c>
      <c r="D110" s="396">
        <v>68.989999999999995</v>
      </c>
      <c r="E110" s="357" t="str">
        <f>"7/80"</f>
        <v>7/80</v>
      </c>
      <c r="F110" s="228" t="s">
        <v>678</v>
      </c>
      <c r="G110" s="211" t="str">
        <f>IFERROR(VLOOKUP(F110,[2]Реестр!A:K,2,0),"")</f>
        <v/>
      </c>
      <c r="H110" s="263" t="s">
        <v>81</v>
      </c>
      <c r="I110" s="450">
        <v>224.27</v>
      </c>
      <c r="K110" s="208"/>
    </row>
    <row r="111" spans="1:12" ht="30" hidden="1" customHeight="1" x14ac:dyDescent="0.25">
      <c r="A111" s="263">
        <v>12.44</v>
      </c>
      <c r="B111" s="263">
        <v>7.77</v>
      </c>
      <c r="C111" s="263">
        <v>25.16</v>
      </c>
      <c r="D111" s="263">
        <v>208</v>
      </c>
      <c r="E111" s="228" t="str">
        <f>"6/57 (2004 № 139)"</f>
        <v>6/57 (2004 № 139)</v>
      </c>
      <c r="F111" s="228" t="s">
        <v>603</v>
      </c>
      <c r="G111" s="211" t="str">
        <f>IFERROR(VLOOKUP(F111,[2]Реестр!A:K,2,0),"")</f>
        <v/>
      </c>
      <c r="H111" s="243" t="str">
        <f>"250"</f>
        <v>250</v>
      </c>
      <c r="I111" s="451"/>
      <c r="K111" s="208"/>
    </row>
    <row r="112" spans="1:12" ht="18.75" hidden="1" customHeight="1" x14ac:dyDescent="0.25">
      <c r="A112" s="263">
        <v>16.579999999999998</v>
      </c>
      <c r="B112" s="263">
        <v>19.5</v>
      </c>
      <c r="C112" s="263">
        <v>68.38</v>
      </c>
      <c r="D112" s="263">
        <v>327.07</v>
      </c>
      <c r="E112" s="349" t="str">
        <f>"8/35"</f>
        <v>8/35</v>
      </c>
      <c r="F112" s="349" t="s">
        <v>549</v>
      </c>
      <c r="G112" s="211"/>
      <c r="H112" s="266">
        <v>200</v>
      </c>
      <c r="I112" s="451"/>
      <c r="K112" s="208"/>
    </row>
    <row r="113" spans="1:11" ht="18.75" hidden="1" customHeight="1" x14ac:dyDescent="0.25">
      <c r="A113" s="263">
        <v>0.14000000000000001</v>
      </c>
      <c r="B113" s="263">
        <v>0.1</v>
      </c>
      <c r="C113" s="263">
        <v>11</v>
      </c>
      <c r="D113" s="263">
        <v>83.962620000000015</v>
      </c>
      <c r="E113" s="228" t="str">
        <f>"11/73"</f>
        <v>11/73</v>
      </c>
      <c r="F113" s="228" t="s">
        <v>669</v>
      </c>
      <c r="G113" s="211"/>
      <c r="H113" s="263" t="s">
        <v>118</v>
      </c>
      <c r="I113" s="451"/>
      <c r="K113" s="208"/>
    </row>
    <row r="114" spans="1:11" ht="18.75" hidden="1" customHeight="1" x14ac:dyDescent="0.25">
      <c r="A114" s="264">
        <v>2.64</v>
      </c>
      <c r="B114" s="264">
        <v>0.48</v>
      </c>
      <c r="C114" s="264">
        <v>16.68</v>
      </c>
      <c r="D114" s="264">
        <v>77.352000000000004</v>
      </c>
      <c r="E114" s="228" t="str">
        <f>"-"</f>
        <v>-</v>
      </c>
      <c r="F114" s="217" t="s">
        <v>66</v>
      </c>
      <c r="G114" s="211"/>
      <c r="H114" s="264" t="str">
        <f>"40"</f>
        <v>40</v>
      </c>
      <c r="I114" s="451"/>
      <c r="K114" s="208"/>
    </row>
    <row r="115" spans="1:11" ht="18.75" hidden="1" customHeight="1" x14ac:dyDescent="0.25">
      <c r="A115" s="264">
        <v>2.64</v>
      </c>
      <c r="B115" s="264">
        <v>0.48</v>
      </c>
      <c r="C115" s="264">
        <v>16.68</v>
      </c>
      <c r="D115" s="264">
        <v>77.352000000000004</v>
      </c>
      <c r="E115" s="265" t="str">
        <f>"-"</f>
        <v>-</v>
      </c>
      <c r="F115" s="217" t="s">
        <v>65</v>
      </c>
      <c r="G115" s="211" t="str">
        <f>IFERROR(VLOOKUP(F115,[2]Реестр!A:K,2,0),"")</f>
        <v>100</v>
      </c>
      <c r="H115" s="264" t="str">
        <f>"40"</f>
        <v>40</v>
      </c>
      <c r="I115" s="451"/>
      <c r="K115" s="208"/>
    </row>
    <row r="116" spans="1:11" ht="18.75" hidden="1" customHeight="1" x14ac:dyDescent="0.25">
      <c r="A116" s="241"/>
      <c r="B116" s="241"/>
      <c r="C116" s="241"/>
      <c r="D116" s="241"/>
      <c r="E116" s="265"/>
      <c r="F116" s="217"/>
      <c r="G116" s="211"/>
      <c r="H116" s="269"/>
      <c r="I116" s="451"/>
      <c r="K116" s="208"/>
    </row>
    <row r="117" spans="1:11" ht="18.75" hidden="1" x14ac:dyDescent="0.3">
      <c r="A117" s="464" t="s">
        <v>16</v>
      </c>
      <c r="B117" s="464"/>
      <c r="C117" s="464"/>
      <c r="D117" s="464"/>
      <c r="E117" s="464"/>
      <c r="F117" s="464"/>
      <c r="G117" s="205"/>
      <c r="H117" s="206"/>
      <c r="I117" s="207">
        <f>SUM(I110:I116)</f>
        <v>224.27</v>
      </c>
      <c r="K117" s="208"/>
    </row>
    <row r="118" spans="1:11" ht="18.75" hidden="1" x14ac:dyDescent="0.3">
      <c r="A118" s="462" t="s">
        <v>550</v>
      </c>
      <c r="B118" s="462"/>
      <c r="C118" s="462"/>
      <c r="D118" s="462"/>
      <c r="E118" s="462"/>
      <c r="F118" s="462"/>
      <c r="G118" s="462"/>
      <c r="H118" s="462"/>
      <c r="I118" s="462"/>
      <c r="K118" s="208"/>
    </row>
    <row r="119" spans="1:11" ht="31.5" hidden="1" customHeight="1" x14ac:dyDescent="0.25">
      <c r="A119" s="367">
        <v>1.03</v>
      </c>
      <c r="B119" s="396">
        <v>4.7699999999999996</v>
      </c>
      <c r="C119" s="396">
        <v>6.38</v>
      </c>
      <c r="D119" s="396">
        <v>68.989999999999995</v>
      </c>
      <c r="E119" s="357" t="str">
        <f>"7/80"</f>
        <v>7/80</v>
      </c>
      <c r="F119" s="228" t="s">
        <v>678</v>
      </c>
      <c r="G119" s="211" t="str">
        <f>IFERROR(VLOOKUP(F119,[2]Реестр!A:K,2,0),"")</f>
        <v/>
      </c>
      <c r="H119" s="210">
        <v>80</v>
      </c>
      <c r="I119" s="450">
        <v>224.27</v>
      </c>
      <c r="K119" s="208"/>
    </row>
    <row r="120" spans="1:11" ht="18.75" hidden="1" customHeight="1" x14ac:dyDescent="0.3">
      <c r="A120" s="263">
        <v>5.55</v>
      </c>
      <c r="B120" s="263">
        <v>12.08</v>
      </c>
      <c r="C120" s="263">
        <v>17.95</v>
      </c>
      <c r="D120" s="263">
        <v>199.78905478333331</v>
      </c>
      <c r="E120" s="227" t="str">
        <f>"6/70-1"</f>
        <v>6/70-1</v>
      </c>
      <c r="F120" s="228" t="s">
        <v>670</v>
      </c>
      <c r="G120" s="211" t="str">
        <f>IFERROR(VLOOKUP(F120,[2]Реестр!A:K,2,0),"")</f>
        <v>300</v>
      </c>
      <c r="H120" s="206">
        <v>250</v>
      </c>
      <c r="I120" s="451"/>
      <c r="K120" s="208"/>
    </row>
    <row r="121" spans="1:11" ht="18.75" hidden="1" customHeight="1" x14ac:dyDescent="0.3">
      <c r="A121" s="263">
        <v>16.579999999999998</v>
      </c>
      <c r="B121" s="263">
        <v>19.5</v>
      </c>
      <c r="C121" s="263">
        <v>68.38</v>
      </c>
      <c r="D121" s="263">
        <v>327.07</v>
      </c>
      <c r="E121" s="349" t="str">
        <f>"8/35"</f>
        <v>8/35</v>
      </c>
      <c r="F121" s="349" t="s">
        <v>549</v>
      </c>
      <c r="G121" s="211" t="str">
        <f>IFERROR(VLOOKUP(F121,[2]Реестр!A:K,2,0),"")</f>
        <v/>
      </c>
      <c r="H121" s="206">
        <v>200</v>
      </c>
      <c r="I121" s="451"/>
      <c r="K121" s="208"/>
    </row>
    <row r="122" spans="1:11" ht="18.75" hidden="1" customHeight="1" x14ac:dyDescent="0.3">
      <c r="A122" s="263">
        <v>0.14000000000000001</v>
      </c>
      <c r="B122" s="263">
        <v>0.1</v>
      </c>
      <c r="C122" s="263">
        <v>1.5</v>
      </c>
      <c r="D122" s="263">
        <v>83.962620000000015</v>
      </c>
      <c r="E122" s="349" t="str">
        <f>"11/1"</f>
        <v>11/1</v>
      </c>
      <c r="F122" s="349" t="s">
        <v>317</v>
      </c>
      <c r="G122" s="211">
        <f>IFERROR(VLOOKUP(F122,[2]Реестр!A:K,2,0),"")</f>
        <v>200</v>
      </c>
      <c r="H122" s="206">
        <v>200</v>
      </c>
      <c r="I122" s="451"/>
      <c r="K122" s="208"/>
    </row>
    <row r="123" spans="1:11" ht="18.75" hidden="1" customHeight="1" x14ac:dyDescent="0.3">
      <c r="A123" s="209">
        <v>2.64</v>
      </c>
      <c r="B123" s="209">
        <v>0.24</v>
      </c>
      <c r="C123" s="209">
        <v>18.72</v>
      </c>
      <c r="D123" s="209">
        <v>89.6</v>
      </c>
      <c r="E123" s="210" t="s">
        <v>471</v>
      </c>
      <c r="F123" s="217" t="s">
        <v>66</v>
      </c>
      <c r="G123" s="211" t="str">
        <f>IFERROR(VLOOKUP(F123,[2]Реестр!A:K,2,0),"")</f>
        <v>100</v>
      </c>
      <c r="H123" s="206">
        <v>40</v>
      </c>
      <c r="I123" s="451"/>
      <c r="K123" s="208"/>
    </row>
    <row r="124" spans="1:11" ht="18.75" hidden="1" customHeight="1" x14ac:dyDescent="0.3">
      <c r="A124" s="209">
        <v>2.64</v>
      </c>
      <c r="B124" s="209">
        <v>0.48</v>
      </c>
      <c r="C124" s="209">
        <v>13.36</v>
      </c>
      <c r="D124" s="209">
        <v>77.2</v>
      </c>
      <c r="E124" s="210" t="s">
        <v>471</v>
      </c>
      <c r="F124" s="217" t="s">
        <v>65</v>
      </c>
      <c r="G124" s="211" t="str">
        <f>IFERROR(VLOOKUP(F124,[2]Реестр!A:K,2,0),"")</f>
        <v>100</v>
      </c>
      <c r="H124" s="206">
        <v>40</v>
      </c>
      <c r="I124" s="451"/>
      <c r="K124" s="208"/>
    </row>
    <row r="125" spans="1:11" ht="18.75" hidden="1" customHeight="1" x14ac:dyDescent="0.25">
      <c r="A125" s="246"/>
      <c r="B125" s="246"/>
      <c r="C125" s="246"/>
      <c r="D125" s="246"/>
      <c r="E125" s="247"/>
      <c r="F125" s="204"/>
      <c r="G125" s="199"/>
      <c r="H125" s="246"/>
      <c r="I125" s="451"/>
      <c r="K125" s="208"/>
    </row>
    <row r="126" spans="1:11" ht="18.75" hidden="1" x14ac:dyDescent="0.3">
      <c r="A126" s="464" t="s">
        <v>16</v>
      </c>
      <c r="B126" s="464"/>
      <c r="C126" s="464"/>
      <c r="D126" s="464"/>
      <c r="E126" s="464"/>
      <c r="F126" s="464"/>
      <c r="G126" s="205"/>
      <c r="H126" s="206"/>
      <c r="I126" s="207">
        <f>SUM(I119)</f>
        <v>224.27</v>
      </c>
      <c r="K126" s="208"/>
    </row>
    <row r="127" spans="1:11" ht="18.75" x14ac:dyDescent="0.25">
      <c r="A127" s="488" t="s">
        <v>593</v>
      </c>
      <c r="B127" s="488"/>
      <c r="C127" s="488"/>
      <c r="D127" s="488"/>
      <c r="E127" s="488"/>
      <c r="F127" s="488"/>
      <c r="G127" s="488"/>
      <c r="H127" s="488"/>
      <c r="I127" s="488"/>
      <c r="K127" s="208"/>
    </row>
    <row r="128" spans="1:11" ht="18.75" x14ac:dyDescent="0.3">
      <c r="A128" s="201">
        <v>5.28</v>
      </c>
      <c r="B128" s="201">
        <v>11.09</v>
      </c>
      <c r="C128" s="201">
        <v>47.35</v>
      </c>
      <c r="D128" s="201">
        <v>310.29000000000002</v>
      </c>
      <c r="E128" s="405" t="s">
        <v>594</v>
      </c>
      <c r="F128" s="406" t="s">
        <v>595</v>
      </c>
      <c r="G128" s="211" t="str">
        <f>IFERROR(VLOOKUP(F128,[12]Реестр!A:K,2,0),"")</f>
        <v/>
      </c>
      <c r="H128" s="206">
        <v>200</v>
      </c>
      <c r="I128" s="207">
        <v>100</v>
      </c>
      <c r="K128" s="208"/>
    </row>
    <row r="129" spans="1:11" ht="18.75" x14ac:dyDescent="0.3">
      <c r="A129" s="453" t="s">
        <v>16</v>
      </c>
      <c r="B129" s="454"/>
      <c r="C129" s="454"/>
      <c r="D129" s="454"/>
      <c r="E129" s="454"/>
      <c r="F129" s="455"/>
      <c r="G129" s="205"/>
      <c r="H129" s="206"/>
      <c r="I129" s="207">
        <f>I128</f>
        <v>100</v>
      </c>
      <c r="K129" s="208"/>
    </row>
    <row r="130" spans="1:11" ht="18.75" x14ac:dyDescent="0.3">
      <c r="A130" s="465" t="s">
        <v>596</v>
      </c>
      <c r="B130" s="466"/>
      <c r="C130" s="466"/>
      <c r="D130" s="466"/>
      <c r="E130" s="466"/>
      <c r="F130" s="466"/>
      <c r="G130" s="466"/>
      <c r="H130" s="466"/>
      <c r="I130" s="467"/>
      <c r="K130" s="208"/>
    </row>
    <row r="131" spans="1:11" ht="30" x14ac:dyDescent="0.25">
      <c r="A131" s="383">
        <v>1.33</v>
      </c>
      <c r="B131" s="383">
        <v>5.12</v>
      </c>
      <c r="C131" s="383">
        <v>4.0999999999999996</v>
      </c>
      <c r="D131" s="383">
        <v>73.52</v>
      </c>
      <c r="E131" s="382" t="s">
        <v>709</v>
      </c>
      <c r="F131" s="242" t="s">
        <v>710</v>
      </c>
      <c r="G131" s="211" t="str">
        <f>IFERROR(VLOOKUP(F131,[2]Реестр!A:K,2,0),"")</f>
        <v/>
      </c>
      <c r="H131" s="210">
        <v>80</v>
      </c>
      <c r="I131" s="230">
        <v>44.94</v>
      </c>
      <c r="K131" s="208"/>
    </row>
    <row r="132" spans="1:11" ht="18.75" x14ac:dyDescent="0.3">
      <c r="A132" s="263">
        <v>4.1100000000000003</v>
      </c>
      <c r="B132" s="263">
        <v>4.7699999999999996</v>
      </c>
      <c r="C132" s="263">
        <v>19.5</v>
      </c>
      <c r="D132" s="263">
        <v>143.13</v>
      </c>
      <c r="E132" s="242" t="s">
        <v>711</v>
      </c>
      <c r="F132" s="242" t="s">
        <v>716</v>
      </c>
      <c r="G132" s="211" t="str">
        <f>IFERROR(VLOOKUP(F132,[2]Реестр!A:K,2,0),"")</f>
        <v/>
      </c>
      <c r="H132" s="206">
        <v>250</v>
      </c>
      <c r="I132" s="207">
        <v>50</v>
      </c>
      <c r="K132" s="208"/>
    </row>
    <row r="133" spans="1:11" ht="18.75" x14ac:dyDescent="0.3">
      <c r="A133" s="263">
        <v>15.55</v>
      </c>
      <c r="B133" s="263">
        <v>15.4</v>
      </c>
      <c r="C133" s="263">
        <v>57.1</v>
      </c>
      <c r="D133" s="263">
        <v>364.2</v>
      </c>
      <c r="E133" s="242" t="s">
        <v>712</v>
      </c>
      <c r="F133" s="242" t="s">
        <v>713</v>
      </c>
      <c r="G133" s="211" t="str">
        <f>IFERROR(VLOOKUP(F133,[2]Реестр!A:K,2,0),"")</f>
        <v/>
      </c>
      <c r="H133" s="206">
        <v>200</v>
      </c>
      <c r="I133" s="206">
        <v>102.59</v>
      </c>
      <c r="K133" s="208"/>
    </row>
    <row r="134" spans="1:11" ht="18.75" x14ac:dyDescent="0.3">
      <c r="A134" s="263">
        <v>0.18</v>
      </c>
      <c r="B134" s="263">
        <v>0.05</v>
      </c>
      <c r="C134" s="263">
        <v>0.32</v>
      </c>
      <c r="D134" s="263">
        <v>37.582527999999996</v>
      </c>
      <c r="E134" s="242" t="s">
        <v>714</v>
      </c>
      <c r="F134" s="242" t="s">
        <v>328</v>
      </c>
      <c r="G134" s="211">
        <f>IFERROR(VLOOKUP(F134,[2]Реестр!A:K,2,0),"")</f>
        <v>200</v>
      </c>
      <c r="H134" s="206">
        <v>200</v>
      </c>
      <c r="I134" s="207">
        <v>19.54</v>
      </c>
      <c r="K134" s="208"/>
    </row>
    <row r="135" spans="1:11" ht="18.75" x14ac:dyDescent="0.3">
      <c r="A135" s="264">
        <v>3.3</v>
      </c>
      <c r="B135" s="264">
        <v>0.3</v>
      </c>
      <c r="C135" s="264">
        <v>23.4</v>
      </c>
      <c r="D135" s="264">
        <v>112</v>
      </c>
      <c r="E135" s="242" t="s">
        <v>471</v>
      </c>
      <c r="F135" s="242" t="s">
        <v>715</v>
      </c>
      <c r="G135" s="211" t="str">
        <f>IFERROR(VLOOKUP(F135,[2]Реестр!A:K,2,0),"")</f>
        <v/>
      </c>
      <c r="H135" s="206">
        <v>50</v>
      </c>
      <c r="I135" s="207">
        <v>4.5</v>
      </c>
      <c r="K135" s="208"/>
    </row>
    <row r="136" spans="1:11" ht="18.75" x14ac:dyDescent="0.3">
      <c r="A136" s="241">
        <v>2</v>
      </c>
      <c r="B136" s="241">
        <v>0.4</v>
      </c>
      <c r="C136" s="241">
        <v>10</v>
      </c>
      <c r="D136" s="241">
        <v>58</v>
      </c>
      <c r="E136" s="381" t="s">
        <v>471</v>
      </c>
      <c r="F136" s="381" t="s">
        <v>707</v>
      </c>
      <c r="G136" s="211" t="str">
        <f>IFERROR(VLOOKUP(F136,[2]Реестр!A:K,2,0),"")</f>
        <v/>
      </c>
      <c r="H136" s="206">
        <v>30</v>
      </c>
      <c r="I136" s="203">
        <v>2.7</v>
      </c>
      <c r="K136" s="208"/>
    </row>
    <row r="137" spans="1:11" ht="18.75" x14ac:dyDescent="0.3">
      <c r="A137" s="196"/>
      <c r="B137" s="196"/>
      <c r="C137" s="196"/>
      <c r="D137" s="196"/>
      <c r="E137" s="214"/>
      <c r="F137" s="204"/>
      <c r="G137" s="199"/>
      <c r="H137" s="200"/>
      <c r="I137" s="203"/>
      <c r="K137" s="208"/>
    </row>
    <row r="138" spans="1:11" ht="18.75" x14ac:dyDescent="0.3">
      <c r="A138" s="453" t="s">
        <v>16</v>
      </c>
      <c r="B138" s="454"/>
      <c r="C138" s="454"/>
      <c r="D138" s="454"/>
      <c r="E138" s="454"/>
      <c r="F138" s="455"/>
      <c r="G138" s="205"/>
      <c r="H138" s="206"/>
      <c r="I138" s="207">
        <f>SUM(I131:I137)</f>
        <v>224.26999999999998</v>
      </c>
      <c r="K138" s="208"/>
    </row>
    <row r="139" spans="1:11" ht="18.75" x14ac:dyDescent="0.3">
      <c r="A139" s="481" t="s">
        <v>677</v>
      </c>
      <c r="B139" s="482"/>
      <c r="C139" s="482"/>
      <c r="D139" s="482"/>
      <c r="E139" s="482"/>
      <c r="F139" s="482"/>
      <c r="G139" s="482"/>
      <c r="H139" s="482"/>
      <c r="I139" s="483"/>
      <c r="K139" s="208"/>
    </row>
    <row r="140" spans="1:11" ht="18.75" x14ac:dyDescent="0.3">
      <c r="A140" s="263">
        <v>5.55</v>
      </c>
      <c r="B140" s="263">
        <v>7.8</v>
      </c>
      <c r="C140" s="263">
        <v>15.95</v>
      </c>
      <c r="D140" s="263">
        <v>199.78905478333331</v>
      </c>
      <c r="E140" s="242" t="s">
        <v>711</v>
      </c>
      <c r="F140" s="242" t="s">
        <v>716</v>
      </c>
      <c r="G140" s="206">
        <v>200</v>
      </c>
      <c r="H140" s="206">
        <v>200</v>
      </c>
      <c r="I140" s="450">
        <v>130.88</v>
      </c>
      <c r="K140" s="208"/>
    </row>
    <row r="141" spans="1:11" ht="18.75" x14ac:dyDescent="0.3">
      <c r="A141" s="263">
        <v>16.579999999999998</v>
      </c>
      <c r="B141" s="263">
        <v>19.5</v>
      </c>
      <c r="C141" s="263">
        <v>68.38</v>
      </c>
      <c r="D141" s="263">
        <v>327.07</v>
      </c>
      <c r="E141" s="242" t="s">
        <v>712</v>
      </c>
      <c r="F141" s="242" t="s">
        <v>713</v>
      </c>
      <c r="G141" s="206">
        <v>200</v>
      </c>
      <c r="H141" s="206">
        <v>200</v>
      </c>
      <c r="I141" s="451"/>
      <c r="K141" s="208"/>
    </row>
    <row r="142" spans="1:11" ht="18.75" x14ac:dyDescent="0.3">
      <c r="A142" s="263">
        <v>0.14000000000000001</v>
      </c>
      <c r="B142" s="263">
        <v>0.1</v>
      </c>
      <c r="C142" s="263">
        <v>1.5</v>
      </c>
      <c r="D142" s="263">
        <v>83.962620000000015</v>
      </c>
      <c r="E142" s="242" t="s">
        <v>714</v>
      </c>
      <c r="F142" s="242" t="s">
        <v>328</v>
      </c>
      <c r="G142" s="206">
        <v>200</v>
      </c>
      <c r="H142" s="206">
        <v>200</v>
      </c>
      <c r="I142" s="451"/>
      <c r="K142" s="208"/>
    </row>
    <row r="143" spans="1:11" ht="18.75" x14ac:dyDescent="0.3">
      <c r="A143" s="209">
        <v>2.64</v>
      </c>
      <c r="B143" s="209">
        <v>0.24</v>
      </c>
      <c r="C143" s="209">
        <v>18.72</v>
      </c>
      <c r="D143" s="209">
        <v>89.6</v>
      </c>
      <c r="E143" s="405" t="s">
        <v>471</v>
      </c>
      <c r="F143" s="408" t="s">
        <v>66</v>
      </c>
      <c r="G143" s="206">
        <v>40</v>
      </c>
      <c r="H143" s="206">
        <v>40</v>
      </c>
      <c r="I143" s="451"/>
      <c r="K143" s="208"/>
    </row>
    <row r="144" spans="1:11" ht="18.75" x14ac:dyDescent="0.3">
      <c r="A144" s="209">
        <v>2.64</v>
      </c>
      <c r="B144" s="209">
        <v>0.48</v>
      </c>
      <c r="C144" s="209">
        <v>13.36</v>
      </c>
      <c r="D144" s="209">
        <v>77.2</v>
      </c>
      <c r="E144" s="405" t="s">
        <v>471</v>
      </c>
      <c r="F144" s="408" t="s">
        <v>65</v>
      </c>
      <c r="G144" s="206">
        <v>40</v>
      </c>
      <c r="H144" s="206">
        <v>40</v>
      </c>
      <c r="I144" s="452"/>
      <c r="K144" s="208"/>
    </row>
    <row r="145" spans="1:11" ht="18.75" x14ac:dyDescent="0.3">
      <c r="A145" s="453" t="s">
        <v>16</v>
      </c>
      <c r="B145" s="454"/>
      <c r="C145" s="454"/>
      <c r="D145" s="454"/>
      <c r="E145" s="454"/>
      <c r="F145" s="455"/>
      <c r="G145" s="205"/>
      <c r="H145" s="206"/>
      <c r="I145" s="207">
        <f>SUM(I140:I144)</f>
        <v>130.88</v>
      </c>
      <c r="K145" s="208"/>
    </row>
    <row r="147" spans="1:11" s="215" customFormat="1" ht="18.75" x14ac:dyDescent="0.3">
      <c r="B147" s="252"/>
      <c r="C147" s="253"/>
      <c r="D147" s="253"/>
      <c r="E147" s="253"/>
      <c r="F147" s="254" t="s">
        <v>37</v>
      </c>
      <c r="G147" s="270"/>
      <c r="H147" s="257"/>
      <c r="I147" s="260" t="s">
        <v>574</v>
      </c>
      <c r="K147" s="202"/>
    </row>
    <row r="148" spans="1:11" s="215" customFormat="1" ht="18.75" x14ac:dyDescent="0.3">
      <c r="B148" s="252"/>
      <c r="C148" s="253"/>
      <c r="D148" s="253"/>
      <c r="E148" s="253"/>
      <c r="F148" s="254"/>
      <c r="G148" s="270"/>
      <c r="H148" s="418"/>
      <c r="I148" s="260"/>
      <c r="K148" s="202"/>
    </row>
    <row r="149" spans="1:11" x14ac:dyDescent="0.25">
      <c r="H149" s="414" t="s">
        <v>699</v>
      </c>
    </row>
  </sheetData>
  <autoFilter ref="A4:I93" xr:uid="{00000000-0009-0000-0000-000006000000}"/>
  <mergeCells count="57">
    <mergeCell ref="A139:I139"/>
    <mergeCell ref="I140:I144"/>
    <mergeCell ref="A145:F145"/>
    <mergeCell ref="A138:F138"/>
    <mergeCell ref="A126:F126"/>
    <mergeCell ref="A127:I127"/>
    <mergeCell ref="A129:F129"/>
    <mergeCell ref="A130:I130"/>
    <mergeCell ref="A22:I22"/>
    <mergeCell ref="A29:F29"/>
    <mergeCell ref="A30:I30"/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  <mergeCell ref="J4:J5"/>
    <mergeCell ref="A6:I6"/>
    <mergeCell ref="A12:F12"/>
    <mergeCell ref="A13:I13"/>
    <mergeCell ref="G4:G5"/>
    <mergeCell ref="H4:H5"/>
    <mergeCell ref="A38:F38"/>
    <mergeCell ref="A39:I3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A40:I40"/>
    <mergeCell ref="A85:I85"/>
    <mergeCell ref="A93:F93"/>
    <mergeCell ref="A94:I94"/>
    <mergeCell ref="I95:I99"/>
    <mergeCell ref="A109:I109"/>
    <mergeCell ref="A117:F117"/>
    <mergeCell ref="A118:I118"/>
    <mergeCell ref="I119:I125"/>
    <mergeCell ref="I110:I116"/>
    <mergeCell ref="A100:F100"/>
    <mergeCell ref="A101:I101"/>
    <mergeCell ref="I102:I107"/>
    <mergeCell ref="A108:F108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600-000000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F116</xm:sqref>
        </x14:dataValidation>
        <x14:dataValidation type="list" allowBlank="1" showInputMessage="1" showErrorMessage="1" xr:uid="{00000000-0002-0000-0600-000001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F128</xm:sqref>
        </x14:dataValidation>
        <x14:dataValidation type="list" allowBlank="1" showInputMessage="1" showErrorMessage="1" xr:uid="{00000000-0002-0000-0600-000002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F44 F124 F76:F77 F60 F68 F10 F19 F27:F28 F91 F144 F36 F52 F98:F99 F105:F106 F136</xm:sqref>
        </x14:dataValidation>
        <x14:dataValidation type="list" allowBlank="1" showInputMessage="1" showErrorMessage="1" xr:uid="{00000000-0002-0000-06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F44 F124 F76:F77 F98:F99 F68 F144 F10 F19 F27:F28 F36 F60 F52 F105:F106 F91 F136</xm:sqref>
        </x14:dataValidation>
        <x14:dataValidation type="list" allowBlank="1" showInputMessage="1" showErrorMessage="1" xr:uid="{F08ACA16-6731-43C1-8345-0E65492FD125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F80</xm:sqref>
        </x14:dataValidation>
        <x14:dataValidation type="list" allowBlank="1" showInputMessage="1" showErrorMessage="1" xr:uid="{00000000-0002-0000-0600-000005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F143 F7 F18 F26 F35 F57 F67 F102:F104 F111 F122:F123 F41 F51 F75 F95:F97 F107 F113 F90 F135</xm:sqref>
        </x14:dataValidation>
        <x14:dataValidation type="list" allowBlank="1" showInputMessage="1" showErrorMessage="1" xr:uid="{00000000-0002-0000-0600-000007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F20 F137 F53 F37 F92 F69 F115 F125</xm:sqref>
        </x14:dataValidation>
        <x14:dataValidation type="list" allowBlank="1" showInputMessage="1" showErrorMessage="1" xr:uid="{00000000-0002-0000-0600-000008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F110 F87 F15 F119:F121 F32 F112 F140 F64 F48 F83 F132</xm:sqref>
        </x14:dataValidation>
        <x14:dataValidation type="list" allowBlank="1" showInputMessage="1" showErrorMessage="1" xr:uid="{00000000-0002-0000-0600-00000A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5">
    <pageSetUpPr fitToPage="1"/>
  </sheetPr>
  <dimension ref="A1:L141"/>
  <sheetViews>
    <sheetView view="pageBreakPreview" topLeftCell="A127" zoomScaleNormal="100" zoomScaleSheetLayoutView="100" workbookViewId="0">
      <selection activeCell="F7" sqref="F7"/>
    </sheetView>
  </sheetViews>
  <sheetFormatPr defaultRowHeight="15.75" x14ac:dyDescent="0.25"/>
  <cols>
    <col min="1" max="1" width="11.28515625" style="215" customWidth="1"/>
    <col min="2" max="2" width="11.28515625" style="252" customWidth="1"/>
    <col min="3" max="3" width="10.5703125" style="253" customWidth="1"/>
    <col min="4" max="4" width="10.28515625" style="253" customWidth="1"/>
    <col min="5" max="5" width="14" style="253" customWidth="1"/>
    <col min="6" max="6" width="57.85546875" style="253" customWidth="1"/>
    <col min="7" max="7" width="17.85546875" style="253" hidden="1" customWidth="1"/>
    <col min="8" max="9" width="15.5703125" style="253" customWidth="1"/>
    <col min="10" max="10" width="25.5703125" style="215" customWidth="1"/>
    <col min="11" max="1025" width="8.7109375" style="202" customWidth="1"/>
    <col min="1026" max="16384" width="9.140625" style="202"/>
  </cols>
  <sheetData>
    <row r="1" spans="1:12" s="234" customFormat="1" ht="29.25" customHeight="1" x14ac:dyDescent="0.25">
      <c r="A1" s="468" t="s">
        <v>0</v>
      </c>
      <c r="B1" s="468"/>
      <c r="C1" s="235"/>
      <c r="D1" s="235"/>
      <c r="E1" s="235"/>
      <c r="F1" s="231" t="s">
        <v>1</v>
      </c>
      <c r="G1" s="231"/>
      <c r="H1" s="439" t="s">
        <v>0</v>
      </c>
      <c r="I1" s="439"/>
    </row>
    <row r="2" spans="1:12" s="234" customFormat="1" ht="29.25" customHeight="1" x14ac:dyDescent="0.25">
      <c r="A2" s="235" t="s">
        <v>2</v>
      </c>
      <c r="B2" s="235"/>
      <c r="C2" s="259"/>
      <c r="D2" s="259"/>
      <c r="E2" s="259"/>
      <c r="F2" s="231" t="s">
        <v>576</v>
      </c>
      <c r="G2" s="231"/>
      <c r="H2" s="469" t="s">
        <v>577</v>
      </c>
      <c r="I2" s="469"/>
      <c r="J2" s="235"/>
    </row>
    <row r="3" spans="1:12" s="234" customFormat="1" ht="29.25" customHeight="1" x14ac:dyDescent="0.25">
      <c r="A3" s="437" t="s">
        <v>522</v>
      </c>
      <c r="B3" s="437"/>
      <c r="C3" s="437"/>
      <c r="D3" s="438"/>
      <c r="E3" s="438"/>
      <c r="F3" s="231" t="s">
        <v>748</v>
      </c>
      <c r="G3" s="231"/>
      <c r="H3" s="470" t="s">
        <v>578</v>
      </c>
      <c r="I3" s="470"/>
    </row>
    <row r="4" spans="1:12" ht="15" customHeight="1" x14ac:dyDescent="0.25">
      <c r="A4" s="472" t="s">
        <v>4</v>
      </c>
      <c r="B4" s="472"/>
      <c r="C4" s="472"/>
      <c r="D4" s="471" t="s">
        <v>5</v>
      </c>
      <c r="E4" s="471" t="s">
        <v>6</v>
      </c>
      <c r="F4" s="471" t="s">
        <v>7</v>
      </c>
      <c r="G4" s="473" t="s">
        <v>8</v>
      </c>
      <c r="H4" s="471" t="s">
        <v>9</v>
      </c>
      <c r="I4" s="471" t="s">
        <v>10</v>
      </c>
      <c r="J4" s="471" t="s">
        <v>11</v>
      </c>
    </row>
    <row r="5" spans="1:12" x14ac:dyDescent="0.25">
      <c r="A5" s="232" t="s">
        <v>12</v>
      </c>
      <c r="B5" s="232" t="s">
        <v>13</v>
      </c>
      <c r="C5" s="232" t="s">
        <v>14</v>
      </c>
      <c r="D5" s="471"/>
      <c r="E5" s="471"/>
      <c r="F5" s="471"/>
      <c r="G5" s="473"/>
      <c r="H5" s="471"/>
      <c r="I5" s="471"/>
      <c r="J5" s="471"/>
    </row>
    <row r="6" spans="1:12" ht="18" customHeight="1" x14ac:dyDescent="0.3">
      <c r="A6" s="462" t="s">
        <v>15</v>
      </c>
      <c r="B6" s="462"/>
      <c r="C6" s="462"/>
      <c r="D6" s="462"/>
      <c r="E6" s="462"/>
      <c r="F6" s="462"/>
      <c r="G6" s="462"/>
      <c r="H6" s="462"/>
      <c r="I6" s="462"/>
      <c r="J6" s="212"/>
    </row>
    <row r="7" spans="1:12" ht="18" customHeight="1" x14ac:dyDescent="0.3">
      <c r="A7" s="243">
        <v>4.2300000000000004</v>
      </c>
      <c r="B7" s="243">
        <v>4.96</v>
      </c>
      <c r="C7" s="243">
        <v>38.700000000000003</v>
      </c>
      <c r="D7" s="243">
        <v>228.9</v>
      </c>
      <c r="E7" s="242" t="str">
        <f>"1/50"</f>
        <v>1/50</v>
      </c>
      <c r="F7" s="242" t="s">
        <v>706</v>
      </c>
      <c r="G7" s="211" t="str">
        <f>IFERROR(VLOOKUP(F7,[1]Реестр!A:K,2,0),"")</f>
        <v/>
      </c>
      <c r="H7" s="210">
        <v>30</v>
      </c>
      <c r="I7" s="207">
        <v>38.369999999999997</v>
      </c>
      <c r="J7" s="201" t="str">
        <f>IFERROR(VLOOKUP(O7,Реестр!#REF!,3,0)*Q7/P7,"")</f>
        <v/>
      </c>
    </row>
    <row r="8" spans="1:12" ht="18" customHeight="1" x14ac:dyDescent="0.3">
      <c r="A8" s="243">
        <v>13.79</v>
      </c>
      <c r="B8" s="243">
        <v>14.6</v>
      </c>
      <c r="C8" s="243">
        <v>23.4</v>
      </c>
      <c r="D8" s="243">
        <v>266.7</v>
      </c>
      <c r="E8" s="242" t="str">
        <f>"4/56"</f>
        <v>4/56</v>
      </c>
      <c r="F8" s="242" t="s">
        <v>705</v>
      </c>
      <c r="G8" s="211"/>
      <c r="H8" s="210">
        <v>150</v>
      </c>
      <c r="I8" s="207">
        <v>75.42</v>
      </c>
      <c r="J8" s="201" t="str">
        <f>IFERROR(VLOOKUP(O8,Реестр!#REF!,3,0)*Q8/P8,"")</f>
        <v/>
      </c>
    </row>
    <row r="9" spans="1:12" ht="18" customHeight="1" x14ac:dyDescent="0.3">
      <c r="A9" s="243">
        <v>0.18</v>
      </c>
      <c r="B9" s="243">
        <v>0.04</v>
      </c>
      <c r="C9" s="243">
        <v>13.75</v>
      </c>
      <c r="D9" s="243">
        <v>53.136642799999997</v>
      </c>
      <c r="E9" s="242" t="str">
        <f>"11/56"</f>
        <v>11/56</v>
      </c>
      <c r="F9" s="242" t="s">
        <v>499</v>
      </c>
      <c r="G9" s="211"/>
      <c r="H9" s="210">
        <v>200</v>
      </c>
      <c r="I9" s="207">
        <v>8.15</v>
      </c>
      <c r="J9" s="201" t="str">
        <f>IFERROR(VLOOKUP(O9,Реестр!#REF!,3,0)*Q9/P9,"")</f>
        <v/>
      </c>
    </row>
    <row r="10" spans="1:12" ht="18" customHeight="1" x14ac:dyDescent="0.3">
      <c r="A10" s="264">
        <v>1.3</v>
      </c>
      <c r="B10" s="264">
        <v>0.2</v>
      </c>
      <c r="C10" s="264">
        <v>6.7</v>
      </c>
      <c r="D10" s="264">
        <v>39</v>
      </c>
      <c r="E10" s="381" t="str">
        <f>"-"</f>
        <v>-</v>
      </c>
      <c r="F10" s="381" t="s">
        <v>707</v>
      </c>
      <c r="G10" s="211"/>
      <c r="H10" s="206">
        <v>20</v>
      </c>
      <c r="I10" s="207">
        <v>1.8</v>
      </c>
      <c r="J10" s="201" t="str">
        <f>IFERROR(VLOOKUP(O10,Реестр!#REF!,3,0)*Q10/P10,"")</f>
        <v/>
      </c>
    </row>
    <row r="11" spans="1:12" ht="18.75" x14ac:dyDescent="0.3">
      <c r="A11" s="264">
        <v>0.52</v>
      </c>
      <c r="B11" s="264">
        <v>0.52</v>
      </c>
      <c r="C11" s="264">
        <v>15.08</v>
      </c>
      <c r="D11" s="264">
        <v>63.283999999999985</v>
      </c>
      <c r="E11" s="381" t="str">
        <f>"-"</f>
        <v>-</v>
      </c>
      <c r="F11" s="381" t="s">
        <v>708</v>
      </c>
      <c r="G11" s="211"/>
      <c r="H11" s="206">
        <v>130</v>
      </c>
      <c r="I11" s="207">
        <v>25.78</v>
      </c>
      <c r="J11" s="206"/>
      <c r="K11" s="208"/>
    </row>
    <row r="12" spans="1:12" ht="18" customHeight="1" x14ac:dyDescent="0.3">
      <c r="A12" s="464" t="s">
        <v>16</v>
      </c>
      <c r="B12" s="464"/>
      <c r="C12" s="464"/>
      <c r="D12" s="464"/>
      <c r="E12" s="464"/>
      <c r="F12" s="464"/>
      <c r="G12" s="205"/>
      <c r="H12" s="206"/>
      <c r="I12" s="207">
        <f>SUM(I7:I11)</f>
        <v>149.51999999999998</v>
      </c>
      <c r="J12" s="206">
        <v>85.2</v>
      </c>
      <c r="K12" s="208">
        <f>I12-J12</f>
        <v>64.319999999999979</v>
      </c>
      <c r="L12" s="208"/>
    </row>
    <row r="13" spans="1:12" ht="18" customHeight="1" x14ac:dyDescent="0.3">
      <c r="A13" s="462" t="s">
        <v>17</v>
      </c>
      <c r="B13" s="462"/>
      <c r="C13" s="462"/>
      <c r="D13" s="462"/>
      <c r="E13" s="462"/>
      <c r="F13" s="462"/>
      <c r="G13" s="462"/>
      <c r="H13" s="462"/>
      <c r="I13" s="462"/>
      <c r="J13" s="212"/>
    </row>
    <row r="14" spans="1:12" ht="30" x14ac:dyDescent="0.3">
      <c r="A14" s="383">
        <v>1.33</v>
      </c>
      <c r="B14" s="383">
        <v>5.12</v>
      </c>
      <c r="C14" s="383">
        <v>4.0999999999999996</v>
      </c>
      <c r="D14" s="383">
        <v>73.52</v>
      </c>
      <c r="E14" s="382" t="s">
        <v>709</v>
      </c>
      <c r="F14" s="242" t="s">
        <v>710</v>
      </c>
      <c r="G14" s="211" t="str">
        <f>IFERROR(VLOOKUP(F14,[2]Реестр!A:K,2,0),"")</f>
        <v/>
      </c>
      <c r="H14" s="210">
        <v>80</v>
      </c>
      <c r="I14" s="230">
        <v>44.94</v>
      </c>
      <c r="J14" s="201" t="str">
        <f>IFERROR(VLOOKUP(O14,Реестр!#REF!,3,0)*Q14/P14,"")</f>
        <v/>
      </c>
    </row>
    <row r="15" spans="1:12" ht="18" customHeight="1" x14ac:dyDescent="0.3">
      <c r="A15" s="263">
        <v>4.1100000000000003</v>
      </c>
      <c r="B15" s="263">
        <v>4.7699999999999996</v>
      </c>
      <c r="C15" s="263">
        <v>19.5</v>
      </c>
      <c r="D15" s="263">
        <v>143.13</v>
      </c>
      <c r="E15" s="242" t="s">
        <v>711</v>
      </c>
      <c r="F15" s="242" t="s">
        <v>716</v>
      </c>
      <c r="G15" s="211" t="str">
        <f>IFERROR(VLOOKUP(F15,[2]Реестр!A:K,2,0),"")</f>
        <v/>
      </c>
      <c r="H15" s="206">
        <v>250</v>
      </c>
      <c r="I15" s="207">
        <v>50</v>
      </c>
      <c r="J15" s="201" t="str">
        <f>IFERROR(VLOOKUP(O15,Реестр!#REF!,3,0)*Q15/P15,"")</f>
        <v/>
      </c>
    </row>
    <row r="16" spans="1:12" ht="18" customHeight="1" x14ac:dyDescent="0.3">
      <c r="A16" s="263">
        <v>15.55</v>
      </c>
      <c r="B16" s="263">
        <v>15.4</v>
      </c>
      <c r="C16" s="263">
        <v>57.1</v>
      </c>
      <c r="D16" s="263">
        <v>364.2</v>
      </c>
      <c r="E16" s="242" t="s">
        <v>712</v>
      </c>
      <c r="F16" s="242" t="s">
        <v>713</v>
      </c>
      <c r="G16" s="211" t="str">
        <f>IFERROR(VLOOKUP(F16,[2]Реестр!A:K,2,0),"")</f>
        <v/>
      </c>
      <c r="H16" s="206">
        <v>200</v>
      </c>
      <c r="I16" s="206">
        <v>102.59</v>
      </c>
      <c r="J16" s="201" t="str">
        <f>IFERROR(VLOOKUP(O16,Реестр!#REF!,3,0)*Q16/P16,"")</f>
        <v/>
      </c>
    </row>
    <row r="17" spans="1:12" ht="18" customHeight="1" x14ac:dyDescent="0.3">
      <c r="A17" s="263">
        <v>0.18</v>
      </c>
      <c r="B17" s="263">
        <v>0.05</v>
      </c>
      <c r="C17" s="263">
        <v>0.32</v>
      </c>
      <c r="D17" s="263">
        <v>37.582527999999996</v>
      </c>
      <c r="E17" s="242" t="s">
        <v>714</v>
      </c>
      <c r="F17" s="242" t="s">
        <v>328</v>
      </c>
      <c r="G17" s="211">
        <f>IFERROR(VLOOKUP(F17,[2]Реестр!A:K,2,0),"")</f>
        <v>200</v>
      </c>
      <c r="H17" s="206">
        <v>200</v>
      </c>
      <c r="I17" s="207">
        <v>19.54</v>
      </c>
      <c r="J17" s="201"/>
    </row>
    <row r="18" spans="1:12" ht="18" customHeight="1" x14ac:dyDescent="0.3">
      <c r="A18" s="264">
        <v>3.3</v>
      </c>
      <c r="B18" s="264">
        <v>0.3</v>
      </c>
      <c r="C18" s="264">
        <v>23.4</v>
      </c>
      <c r="D18" s="264">
        <v>112</v>
      </c>
      <c r="E18" s="242" t="s">
        <v>471</v>
      </c>
      <c r="F18" s="242" t="s">
        <v>715</v>
      </c>
      <c r="G18" s="211" t="str">
        <f>IFERROR(VLOOKUP(F18,[2]Реестр!A:K,2,0),"")</f>
        <v/>
      </c>
      <c r="H18" s="206">
        <v>50</v>
      </c>
      <c r="I18" s="207">
        <v>4.5</v>
      </c>
      <c r="J18" s="201" t="str">
        <f>IFERROR(VLOOKUP(O18,Реестр!#REF!,3,0)*Q18/P18,"")</f>
        <v/>
      </c>
    </row>
    <row r="19" spans="1:12" ht="18" customHeight="1" x14ac:dyDescent="0.3">
      <c r="A19" s="241">
        <v>2</v>
      </c>
      <c r="B19" s="241">
        <v>0.4</v>
      </c>
      <c r="C19" s="241">
        <v>10</v>
      </c>
      <c r="D19" s="241">
        <v>58</v>
      </c>
      <c r="E19" s="381" t="s">
        <v>471</v>
      </c>
      <c r="F19" s="381" t="s">
        <v>707</v>
      </c>
      <c r="G19" s="211" t="str">
        <f>IFERROR(VLOOKUP(F19,[2]Реестр!A:K,2,0),"")</f>
        <v/>
      </c>
      <c r="H19" s="206">
        <v>30</v>
      </c>
      <c r="I19" s="203">
        <v>2.7</v>
      </c>
      <c r="J19" s="201" t="str">
        <f>IFERROR(VLOOKUP(O19,Реестр!#REF!,3,0)*Q19/P19,"")</f>
        <v/>
      </c>
    </row>
    <row r="20" spans="1:12" ht="18" customHeight="1" x14ac:dyDescent="0.3">
      <c r="A20" s="196"/>
      <c r="B20" s="196"/>
      <c r="C20" s="196"/>
      <c r="D20" s="196"/>
      <c r="E20" s="214"/>
      <c r="F20" s="204"/>
      <c r="G20" s="199"/>
      <c r="H20" s="200"/>
      <c r="I20" s="203"/>
      <c r="J20" s="201"/>
    </row>
    <row r="21" spans="1:12" ht="18.75" x14ac:dyDescent="0.3">
      <c r="A21" s="464" t="s">
        <v>16</v>
      </c>
      <c r="B21" s="464"/>
      <c r="C21" s="464"/>
      <c r="D21" s="464"/>
      <c r="E21" s="464"/>
      <c r="F21" s="464"/>
      <c r="G21" s="205"/>
      <c r="H21" s="206"/>
      <c r="I21" s="207">
        <f>SUM(I14:I20)</f>
        <v>224.26999999999998</v>
      </c>
      <c r="J21" s="206">
        <v>127.79</v>
      </c>
      <c r="K21" s="208">
        <f>J21-I21</f>
        <v>-96.479999999999976</v>
      </c>
    </row>
    <row r="22" spans="1:12" ht="18.75" x14ac:dyDescent="0.3">
      <c r="A22" s="462" t="s">
        <v>500</v>
      </c>
      <c r="B22" s="462"/>
      <c r="C22" s="462"/>
      <c r="D22" s="462"/>
      <c r="E22" s="462"/>
      <c r="F22" s="462"/>
      <c r="G22" s="462"/>
      <c r="H22" s="462"/>
      <c r="I22" s="462"/>
      <c r="J22" s="212"/>
    </row>
    <row r="23" spans="1:12" ht="18.75" x14ac:dyDescent="0.25">
      <c r="A23" s="263">
        <v>0.48</v>
      </c>
      <c r="B23" s="263">
        <v>2.37</v>
      </c>
      <c r="C23" s="263">
        <v>3.09</v>
      </c>
      <c r="D23" s="263">
        <v>36.64</v>
      </c>
      <c r="E23" s="384" t="str">
        <f>"7/26"</f>
        <v>7/26</v>
      </c>
      <c r="F23" s="385" t="s">
        <v>717</v>
      </c>
      <c r="G23" s="211" t="str">
        <f>IFERROR(VLOOKUP(F23,[1]Реестр!A:K,2,0),"")</f>
        <v/>
      </c>
      <c r="H23" s="210">
        <v>30</v>
      </c>
      <c r="I23" s="230">
        <v>19.260000000000002</v>
      </c>
      <c r="J23" s="212"/>
    </row>
    <row r="24" spans="1:12" ht="18.75" x14ac:dyDescent="0.3">
      <c r="A24" s="348">
        <v>19.440000000000001</v>
      </c>
      <c r="B24" s="348">
        <v>19.420000000000002</v>
      </c>
      <c r="C24" s="348">
        <v>57.63</v>
      </c>
      <c r="D24" s="348">
        <v>436.2</v>
      </c>
      <c r="E24" s="242" t="s">
        <v>712</v>
      </c>
      <c r="F24" s="242" t="s">
        <v>713</v>
      </c>
      <c r="G24" s="211" t="str">
        <f>IFERROR(VLOOKUP(F24,[2]Реестр!A:K,2,0),"")</f>
        <v/>
      </c>
      <c r="H24" s="206">
        <v>250</v>
      </c>
      <c r="I24" s="206">
        <v>130.94</v>
      </c>
      <c r="J24" s="201" t="str">
        <f>IFERROR(VLOOKUP(O24,Реестр!#REF!,3,0)*Q24/P24,"")</f>
        <v/>
      </c>
    </row>
    <row r="25" spans="1:12" ht="18.75" x14ac:dyDescent="0.3">
      <c r="A25" s="263">
        <v>0.18</v>
      </c>
      <c r="B25" s="263">
        <v>0.05</v>
      </c>
      <c r="C25" s="263">
        <v>0.32</v>
      </c>
      <c r="D25" s="263">
        <v>37.582527999999996</v>
      </c>
      <c r="E25" s="242" t="s">
        <v>714</v>
      </c>
      <c r="F25" s="386" t="s">
        <v>328</v>
      </c>
      <c r="G25" s="211">
        <f>IFERROR(VLOOKUP(F25,[2]Реестр!A:K,2,0),"")</f>
        <v>200</v>
      </c>
      <c r="H25" s="206">
        <v>200</v>
      </c>
      <c r="I25" s="207">
        <v>19.54</v>
      </c>
      <c r="J25" s="201"/>
    </row>
    <row r="26" spans="1:12" ht="18.75" x14ac:dyDescent="0.3">
      <c r="A26" s="264">
        <v>3.3</v>
      </c>
      <c r="B26" s="264">
        <v>0.3</v>
      </c>
      <c r="C26" s="264">
        <v>23.4</v>
      </c>
      <c r="D26" s="264">
        <v>112</v>
      </c>
      <c r="E26" s="242" t="str">
        <f>"-"</f>
        <v>-</v>
      </c>
      <c r="F26" s="387" t="s">
        <v>715</v>
      </c>
      <c r="G26" s="211" t="str">
        <f>IFERROR(VLOOKUP(F26,[2]Реестр!A:K,2,0),"")</f>
        <v/>
      </c>
      <c r="H26" s="206">
        <v>50</v>
      </c>
      <c r="I26" s="207">
        <v>4.5</v>
      </c>
      <c r="J26" s="201" t="str">
        <f>IFERROR(VLOOKUP(O26,Реестр!#REF!,3,0)*Q26/P26,"")</f>
        <v/>
      </c>
    </row>
    <row r="27" spans="1:12" ht="18.75" x14ac:dyDescent="0.3">
      <c r="A27" s="264">
        <v>2</v>
      </c>
      <c r="B27" s="264">
        <v>0.4</v>
      </c>
      <c r="C27" s="264">
        <v>10</v>
      </c>
      <c r="D27" s="264">
        <v>58</v>
      </c>
      <c r="E27" s="381" t="str">
        <f>"-"</f>
        <v>-</v>
      </c>
      <c r="F27" s="381" t="s">
        <v>707</v>
      </c>
      <c r="G27" s="211" t="str">
        <f>IFERROR(VLOOKUP(F27,[2]Реестр!A:K,2,0),"")</f>
        <v/>
      </c>
      <c r="H27" s="206">
        <v>30</v>
      </c>
      <c r="I27" s="203">
        <v>2.7</v>
      </c>
      <c r="J27" s="201"/>
    </row>
    <row r="28" spans="1:12" ht="18.75" x14ac:dyDescent="0.3">
      <c r="A28" s="196"/>
      <c r="B28" s="196"/>
      <c r="C28" s="196"/>
      <c r="D28" s="196"/>
      <c r="E28" s="197"/>
      <c r="F28" s="217"/>
      <c r="G28" s="199"/>
      <c r="H28" s="206"/>
      <c r="I28" s="203"/>
      <c r="J28" s="201" t="str">
        <f>IFERROR(VLOOKUP(O28,Реестр!#REF!,3,0)*Q28/P28,"")</f>
        <v/>
      </c>
    </row>
    <row r="29" spans="1:12" ht="18.75" x14ac:dyDescent="0.3">
      <c r="A29" s="453" t="s">
        <v>16</v>
      </c>
      <c r="B29" s="454"/>
      <c r="C29" s="454"/>
      <c r="D29" s="454"/>
      <c r="E29" s="454"/>
      <c r="F29" s="455"/>
      <c r="G29" s="205"/>
      <c r="H29" s="206"/>
      <c r="I29" s="207">
        <f>SUM(I23:I28)</f>
        <v>176.93999999999997</v>
      </c>
      <c r="J29" s="206">
        <v>98.52</v>
      </c>
      <c r="K29" s="208">
        <f>I29-J29</f>
        <v>78.419999999999973</v>
      </c>
      <c r="L29" s="208"/>
    </row>
    <row r="30" spans="1:12" ht="18.75" x14ac:dyDescent="0.3">
      <c r="A30" s="462" t="s">
        <v>501</v>
      </c>
      <c r="B30" s="462"/>
      <c r="C30" s="462"/>
      <c r="D30" s="462"/>
      <c r="E30" s="462"/>
      <c r="F30" s="462"/>
      <c r="G30" s="462"/>
      <c r="H30" s="462"/>
      <c r="I30" s="462"/>
      <c r="J30" s="201"/>
    </row>
    <row r="31" spans="1:12" ht="30" x14ac:dyDescent="0.3">
      <c r="A31" s="383">
        <v>2.2999999999999998</v>
      </c>
      <c r="B31" s="383">
        <v>6.01</v>
      </c>
      <c r="C31" s="383">
        <v>4.01</v>
      </c>
      <c r="D31" s="383">
        <v>72.147796</v>
      </c>
      <c r="E31" s="242" t="s">
        <v>709</v>
      </c>
      <c r="F31" s="242" t="s">
        <v>710</v>
      </c>
      <c r="G31" s="211" t="str">
        <f>IFERROR(VLOOKUP(F31,[2]Реестр!A:K,2,0),"")</f>
        <v/>
      </c>
      <c r="H31" s="210">
        <v>100</v>
      </c>
      <c r="I31" s="230">
        <v>56.17</v>
      </c>
      <c r="J31" s="201"/>
    </row>
    <row r="32" spans="1:12" ht="18.75" x14ac:dyDescent="0.3">
      <c r="A32" s="263">
        <v>4.1100000000000003</v>
      </c>
      <c r="B32" s="263">
        <v>4.7699999999999996</v>
      </c>
      <c r="C32" s="263">
        <v>26.5</v>
      </c>
      <c r="D32" s="263">
        <v>213.5</v>
      </c>
      <c r="E32" s="242" t="s">
        <v>711</v>
      </c>
      <c r="F32" s="242" t="s">
        <v>716</v>
      </c>
      <c r="G32" s="211" t="str">
        <f>IFERROR(VLOOKUP(F32,[2]Реестр!A:K,2,0),"")</f>
        <v/>
      </c>
      <c r="H32" s="206">
        <v>250</v>
      </c>
      <c r="I32" s="207">
        <v>50</v>
      </c>
      <c r="J32" s="206"/>
      <c r="K32" s="208">
        <f>I38-J32</f>
        <v>265.40000000000003</v>
      </c>
    </row>
    <row r="33" spans="1:12" ht="18.75" x14ac:dyDescent="0.3">
      <c r="A33" s="348">
        <v>17.5</v>
      </c>
      <c r="B33" s="348">
        <v>15.6</v>
      </c>
      <c r="C33" s="348">
        <v>42.3</v>
      </c>
      <c r="D33" s="348">
        <v>265.7</v>
      </c>
      <c r="E33" s="242" t="s">
        <v>712</v>
      </c>
      <c r="F33" s="242" t="s">
        <v>713</v>
      </c>
      <c r="G33" s="211" t="str">
        <f>IFERROR(VLOOKUP(F33,[2]Реестр!A:K,2,0),"")</f>
        <v/>
      </c>
      <c r="H33" s="206">
        <v>250</v>
      </c>
      <c r="I33" s="206">
        <v>130.94</v>
      </c>
      <c r="J33" s="212"/>
    </row>
    <row r="34" spans="1:12" ht="18.75" x14ac:dyDescent="0.3">
      <c r="A34" s="263">
        <v>3.94</v>
      </c>
      <c r="B34" s="263">
        <v>5.1100000000000003</v>
      </c>
      <c r="C34" s="263">
        <v>27.5</v>
      </c>
      <c r="D34" s="263">
        <v>170.19544859999999</v>
      </c>
      <c r="E34" s="242" t="s">
        <v>714</v>
      </c>
      <c r="F34" s="386" t="s">
        <v>328</v>
      </c>
      <c r="G34" s="211">
        <f>IFERROR(VLOOKUP(F34,[2]Реестр!A:K,2,0),"")</f>
        <v>200</v>
      </c>
      <c r="H34" s="206">
        <v>200</v>
      </c>
      <c r="I34" s="207">
        <v>19.54</v>
      </c>
      <c r="J34" s="212"/>
    </row>
    <row r="35" spans="1:12" ht="18.75" x14ac:dyDescent="0.3">
      <c r="A35" s="264">
        <v>0.14000000000000001</v>
      </c>
      <c r="B35" s="264">
        <v>0.1</v>
      </c>
      <c r="C35" s="264">
        <v>1.5</v>
      </c>
      <c r="D35" s="264">
        <v>83.962620000000015</v>
      </c>
      <c r="E35" s="242" t="s">
        <v>471</v>
      </c>
      <c r="F35" s="242" t="s">
        <v>715</v>
      </c>
      <c r="G35" s="211" t="str">
        <f>IFERROR(VLOOKUP(F35,[2]Реестр!A:K,2,0),"")</f>
        <v/>
      </c>
      <c r="H35" s="206">
        <v>50</v>
      </c>
      <c r="I35" s="207">
        <v>4.5</v>
      </c>
      <c r="J35" s="212"/>
    </row>
    <row r="36" spans="1:12" ht="18.75" x14ac:dyDescent="0.3">
      <c r="A36" s="264">
        <v>3.3</v>
      </c>
      <c r="B36" s="264">
        <v>0.3</v>
      </c>
      <c r="C36" s="264">
        <v>23.4</v>
      </c>
      <c r="D36" s="264">
        <v>112</v>
      </c>
      <c r="E36" s="381" t="s">
        <v>471</v>
      </c>
      <c r="F36" s="381" t="s">
        <v>707</v>
      </c>
      <c r="G36" s="211" t="str">
        <f>IFERROR(VLOOKUP(F36,[2]Реестр!A:K,2,0),"")</f>
        <v/>
      </c>
      <c r="H36" s="206">
        <v>50</v>
      </c>
      <c r="I36" s="203">
        <v>4.25</v>
      </c>
      <c r="J36" s="394"/>
    </row>
    <row r="37" spans="1:12" ht="18.75" x14ac:dyDescent="0.3">
      <c r="A37" s="209"/>
      <c r="B37" s="209"/>
      <c r="C37" s="209"/>
      <c r="D37" s="209"/>
      <c r="E37" s="218"/>
      <c r="F37" s="217"/>
      <c r="G37" s="211"/>
      <c r="H37" s="206"/>
      <c r="I37" s="207"/>
      <c r="J37" s="394"/>
    </row>
    <row r="38" spans="1:12" ht="18.75" x14ac:dyDescent="0.3">
      <c r="A38" s="453" t="s">
        <v>16</v>
      </c>
      <c r="B38" s="454"/>
      <c r="C38" s="454"/>
      <c r="D38" s="454"/>
      <c r="E38" s="454"/>
      <c r="F38" s="455"/>
      <c r="G38" s="205"/>
      <c r="H38" s="206"/>
      <c r="I38" s="207">
        <f>SUM(I31:I37)</f>
        <v>265.40000000000003</v>
      </c>
      <c r="J38" s="206">
        <v>147.79</v>
      </c>
      <c r="K38" s="208">
        <f>I38-J38</f>
        <v>117.61000000000004</v>
      </c>
    </row>
    <row r="39" spans="1:12" ht="18.75" x14ac:dyDescent="0.3">
      <c r="A39" s="462" t="s">
        <v>18</v>
      </c>
      <c r="B39" s="462"/>
      <c r="C39" s="462"/>
      <c r="D39" s="462"/>
      <c r="E39" s="462"/>
      <c r="F39" s="462"/>
      <c r="G39" s="462"/>
      <c r="H39" s="462"/>
      <c r="I39" s="462"/>
      <c r="J39" s="394"/>
    </row>
    <row r="40" spans="1:12" ht="18.75" x14ac:dyDescent="0.3">
      <c r="A40" s="462" t="s">
        <v>19</v>
      </c>
      <c r="B40" s="462"/>
      <c r="C40" s="462"/>
      <c r="D40" s="462"/>
      <c r="E40" s="462"/>
      <c r="F40" s="462"/>
      <c r="G40" s="462"/>
      <c r="H40" s="462"/>
      <c r="I40" s="462"/>
      <c r="J40" s="394"/>
    </row>
    <row r="41" spans="1:12" ht="18.75" x14ac:dyDescent="0.3">
      <c r="A41" s="243">
        <v>4.2300000000000004</v>
      </c>
      <c r="B41" s="243">
        <v>4.96</v>
      </c>
      <c r="C41" s="243">
        <v>38.700000000000003</v>
      </c>
      <c r="D41" s="243">
        <v>228.9</v>
      </c>
      <c r="E41" s="242" t="str">
        <f>"1/50"</f>
        <v>1/50</v>
      </c>
      <c r="F41" s="242" t="s">
        <v>706</v>
      </c>
      <c r="G41" s="211" t="str">
        <f>IFERROR(VLOOKUP(F41,[1]Реестр!A:K,2,0),"")</f>
        <v/>
      </c>
      <c r="H41" s="210">
        <v>30</v>
      </c>
      <c r="I41" s="207">
        <v>38.369999999999997</v>
      </c>
      <c r="J41" s="394" t="s">
        <v>20</v>
      </c>
    </row>
    <row r="42" spans="1:12" ht="18.75" x14ac:dyDescent="0.3">
      <c r="A42" s="243">
        <v>13.79</v>
      </c>
      <c r="B42" s="243">
        <v>14.6</v>
      </c>
      <c r="C42" s="243">
        <v>23.4</v>
      </c>
      <c r="D42" s="243">
        <v>266.7</v>
      </c>
      <c r="E42" s="242" t="str">
        <f>"4/56"</f>
        <v>4/56</v>
      </c>
      <c r="F42" s="242" t="s">
        <v>705</v>
      </c>
      <c r="G42" s="211"/>
      <c r="H42" s="210">
        <v>150</v>
      </c>
      <c r="I42" s="207">
        <v>75.42</v>
      </c>
      <c r="J42" s="394" t="s">
        <v>537</v>
      </c>
      <c r="K42" s="237"/>
      <c r="L42" s="237"/>
    </row>
    <row r="43" spans="1:12" ht="18.75" x14ac:dyDescent="0.3">
      <c r="A43" s="243">
        <v>0.18</v>
      </c>
      <c r="B43" s="243">
        <v>0.04</v>
      </c>
      <c r="C43" s="243">
        <v>13.75</v>
      </c>
      <c r="D43" s="243">
        <v>53.136642799999997</v>
      </c>
      <c r="E43" s="242" t="str">
        <f>"11/56"</f>
        <v>11/56</v>
      </c>
      <c r="F43" s="242" t="s">
        <v>499</v>
      </c>
      <c r="G43" s="211"/>
      <c r="H43" s="210">
        <v>200</v>
      </c>
      <c r="I43" s="207">
        <v>8.15</v>
      </c>
      <c r="J43" s="394" t="s">
        <v>477</v>
      </c>
      <c r="K43" s="237"/>
      <c r="L43" s="237"/>
    </row>
    <row r="44" spans="1:12" ht="18.75" x14ac:dyDescent="0.3">
      <c r="A44" s="264">
        <v>1.3</v>
      </c>
      <c r="B44" s="264">
        <v>0.2</v>
      </c>
      <c r="C44" s="264">
        <v>6.7</v>
      </c>
      <c r="D44" s="264">
        <v>39</v>
      </c>
      <c r="E44" s="381" t="str">
        <f>"-"</f>
        <v>-</v>
      </c>
      <c r="F44" s="381" t="s">
        <v>707</v>
      </c>
      <c r="G44" s="211"/>
      <c r="H44" s="206">
        <v>20</v>
      </c>
      <c r="I44" s="207">
        <v>1.8</v>
      </c>
      <c r="J44" s="394" t="s">
        <v>479</v>
      </c>
      <c r="K44" s="237"/>
      <c r="L44" s="237"/>
    </row>
    <row r="45" spans="1:12" ht="18.75" x14ac:dyDescent="0.3">
      <c r="A45" s="264">
        <v>0.52</v>
      </c>
      <c r="B45" s="264">
        <v>0.52</v>
      </c>
      <c r="C45" s="264">
        <v>15.08</v>
      </c>
      <c r="D45" s="264">
        <v>63.283999999999985</v>
      </c>
      <c r="E45" s="381" t="str">
        <f>"-"</f>
        <v>-</v>
      </c>
      <c r="F45" s="381" t="s">
        <v>708</v>
      </c>
      <c r="G45" s="211"/>
      <c r="H45" s="206">
        <v>130</v>
      </c>
      <c r="I45" s="207">
        <v>25.78</v>
      </c>
      <c r="J45" s="394" t="s">
        <v>475</v>
      </c>
      <c r="K45" s="238"/>
      <c r="L45" s="237"/>
    </row>
    <row r="46" spans="1:12" ht="18.75" x14ac:dyDescent="0.3">
      <c r="A46" s="465" t="s">
        <v>25</v>
      </c>
      <c r="B46" s="466"/>
      <c r="C46" s="466"/>
      <c r="D46" s="466"/>
      <c r="E46" s="466"/>
      <c r="F46" s="466"/>
      <c r="G46" s="466"/>
      <c r="H46" s="466"/>
      <c r="I46" s="467"/>
      <c r="J46" s="394"/>
    </row>
    <row r="47" spans="1:12" s="234" customFormat="1" ht="30" x14ac:dyDescent="0.25">
      <c r="A47" s="383">
        <v>1.33</v>
      </c>
      <c r="B47" s="383">
        <v>5.12</v>
      </c>
      <c r="C47" s="383">
        <v>4.0999999999999996</v>
      </c>
      <c r="D47" s="383">
        <v>73.52</v>
      </c>
      <c r="E47" s="382" t="s">
        <v>709</v>
      </c>
      <c r="F47" s="242" t="s">
        <v>710</v>
      </c>
      <c r="G47" s="211" t="str">
        <f>IFERROR(VLOOKUP(F47,[2]Реестр!A:K,2,0),"")</f>
        <v/>
      </c>
      <c r="H47" s="210">
        <v>80</v>
      </c>
      <c r="I47" s="230">
        <v>44.94</v>
      </c>
      <c r="J47" s="239" t="s">
        <v>538</v>
      </c>
    </row>
    <row r="48" spans="1:12" ht="18.75" x14ac:dyDescent="0.3">
      <c r="A48" s="263">
        <v>4.1100000000000003</v>
      </c>
      <c r="B48" s="263">
        <v>4.7699999999999996</v>
      </c>
      <c r="C48" s="263">
        <v>19.5</v>
      </c>
      <c r="D48" s="263">
        <v>143.13</v>
      </c>
      <c r="E48" s="242" t="s">
        <v>711</v>
      </c>
      <c r="F48" s="242" t="s">
        <v>716</v>
      </c>
      <c r="G48" s="211" t="str">
        <f>IFERROR(VLOOKUP(F48,[2]Реестр!A:K,2,0),"")</f>
        <v/>
      </c>
      <c r="H48" s="206">
        <v>250</v>
      </c>
      <c r="I48" s="207">
        <v>50</v>
      </c>
      <c r="J48" s="394" t="s">
        <v>478</v>
      </c>
    </row>
    <row r="49" spans="1:11" ht="18.75" x14ac:dyDescent="0.3">
      <c r="A49" s="263">
        <v>15.55</v>
      </c>
      <c r="B49" s="263">
        <v>15.4</v>
      </c>
      <c r="C49" s="263">
        <v>57.1</v>
      </c>
      <c r="D49" s="263">
        <v>364.2</v>
      </c>
      <c r="E49" s="242" t="s">
        <v>712</v>
      </c>
      <c r="F49" s="242" t="s">
        <v>713</v>
      </c>
      <c r="G49" s="211" t="str">
        <f>IFERROR(VLOOKUP(F49,[2]Реестр!A:K,2,0),"")</f>
        <v/>
      </c>
      <c r="H49" s="206">
        <v>200</v>
      </c>
      <c r="I49" s="206">
        <v>102.59</v>
      </c>
      <c r="J49" s="394" t="s">
        <v>537</v>
      </c>
    </row>
    <row r="50" spans="1:11" ht="18.75" x14ac:dyDescent="0.3">
      <c r="A50" s="263">
        <v>0.18</v>
      </c>
      <c r="B50" s="263">
        <v>0.05</v>
      </c>
      <c r="C50" s="263">
        <v>0.32</v>
      </c>
      <c r="D50" s="263">
        <v>37.582527999999996</v>
      </c>
      <c r="E50" s="242" t="s">
        <v>714</v>
      </c>
      <c r="F50" s="242" t="s">
        <v>328</v>
      </c>
      <c r="G50" s="211">
        <f>IFERROR(VLOOKUP(F50,[2]Реестр!A:K,2,0),"")</f>
        <v>200</v>
      </c>
      <c r="H50" s="206">
        <v>200</v>
      </c>
      <c r="I50" s="207">
        <v>19.54</v>
      </c>
      <c r="J50" s="394" t="s">
        <v>29</v>
      </c>
    </row>
    <row r="51" spans="1:11" ht="18.75" x14ac:dyDescent="0.3">
      <c r="A51" s="264">
        <v>3.3</v>
      </c>
      <c r="B51" s="264">
        <v>0.3</v>
      </c>
      <c r="C51" s="264">
        <v>23.4</v>
      </c>
      <c r="D51" s="264">
        <v>112</v>
      </c>
      <c r="E51" s="242" t="s">
        <v>471</v>
      </c>
      <c r="F51" s="242" t="s">
        <v>715</v>
      </c>
      <c r="G51" s="211" t="str">
        <f>IFERROR(VLOOKUP(F51,[2]Реестр!A:K,2,0),"")</f>
        <v/>
      </c>
      <c r="H51" s="206">
        <v>50</v>
      </c>
      <c r="I51" s="207">
        <v>4.5</v>
      </c>
      <c r="J51" s="394" t="s">
        <v>479</v>
      </c>
    </row>
    <row r="52" spans="1:11" ht="18.75" x14ac:dyDescent="0.3">
      <c r="A52" s="241">
        <v>2</v>
      </c>
      <c r="B52" s="241">
        <v>0.4</v>
      </c>
      <c r="C52" s="241">
        <v>10</v>
      </c>
      <c r="D52" s="241">
        <v>58</v>
      </c>
      <c r="E52" s="381" t="s">
        <v>471</v>
      </c>
      <c r="F52" s="381" t="s">
        <v>707</v>
      </c>
      <c r="G52" s="211" t="str">
        <f>IFERROR(VLOOKUP(F52,[2]Реестр!A:K,2,0),"")</f>
        <v/>
      </c>
      <c r="H52" s="206">
        <v>30</v>
      </c>
      <c r="I52" s="203">
        <v>2.7</v>
      </c>
      <c r="J52" s="394" t="s">
        <v>539</v>
      </c>
    </row>
    <row r="53" spans="1:11" ht="18.75" x14ac:dyDescent="0.3">
      <c r="A53" s="196"/>
      <c r="B53" s="196"/>
      <c r="C53" s="196"/>
      <c r="D53" s="196"/>
      <c r="E53" s="214"/>
      <c r="F53" s="204"/>
      <c r="G53" s="199"/>
      <c r="H53" s="200"/>
      <c r="I53" s="203"/>
      <c r="J53" s="394" t="s">
        <v>540</v>
      </c>
    </row>
    <row r="54" spans="1:11" ht="18.75" x14ac:dyDescent="0.3">
      <c r="A54" s="464" t="s">
        <v>16</v>
      </c>
      <c r="B54" s="464"/>
      <c r="C54" s="464"/>
      <c r="D54" s="464"/>
      <c r="E54" s="464"/>
      <c r="F54" s="464"/>
      <c r="G54" s="206"/>
      <c r="H54" s="206"/>
      <c r="I54" s="207">
        <f>SUM(I41:I45,I47:I53)</f>
        <v>373.78999999999996</v>
      </c>
      <c r="J54" s="206">
        <v>212.99</v>
      </c>
      <c r="K54" s="208">
        <f>I54-J54</f>
        <v>160.79999999999995</v>
      </c>
    </row>
    <row r="55" spans="1:11" ht="18.75" x14ac:dyDescent="0.3">
      <c r="A55" s="465" t="s">
        <v>33</v>
      </c>
      <c r="B55" s="466"/>
      <c r="C55" s="466"/>
      <c r="D55" s="466"/>
      <c r="E55" s="466"/>
      <c r="F55" s="466"/>
      <c r="G55" s="466"/>
      <c r="H55" s="466"/>
      <c r="I55" s="467"/>
      <c r="J55" s="394"/>
    </row>
    <row r="56" spans="1:11" ht="18.75" x14ac:dyDescent="0.3">
      <c r="A56" s="465" t="s">
        <v>19</v>
      </c>
      <c r="B56" s="466"/>
      <c r="C56" s="466"/>
      <c r="D56" s="466"/>
      <c r="E56" s="466"/>
      <c r="F56" s="466"/>
      <c r="G56" s="466"/>
      <c r="H56" s="466"/>
      <c r="I56" s="467"/>
      <c r="J56" s="394"/>
    </row>
    <row r="57" spans="1:11" ht="18.75" x14ac:dyDescent="0.3">
      <c r="A57" s="243">
        <v>3.76</v>
      </c>
      <c r="B57" s="243">
        <v>3.05</v>
      </c>
      <c r="C57" s="243">
        <v>15.15</v>
      </c>
      <c r="D57" s="243">
        <v>112.3</v>
      </c>
      <c r="E57" s="242" t="str">
        <f>"1/50"</f>
        <v>1/50</v>
      </c>
      <c r="F57" s="242" t="s">
        <v>718</v>
      </c>
      <c r="G57" s="211" t="str">
        <f>IFERROR(VLOOKUP(F57,[1]Реестр!A:K,2,0),"")</f>
        <v/>
      </c>
      <c r="H57" s="210">
        <v>30</v>
      </c>
      <c r="I57" s="207">
        <v>38.369999999999997</v>
      </c>
      <c r="J57" s="394" t="s">
        <v>20</v>
      </c>
    </row>
    <row r="58" spans="1:11" ht="18.75" x14ac:dyDescent="0.3">
      <c r="A58" s="243">
        <v>16.39</v>
      </c>
      <c r="B58" s="243">
        <v>19.7</v>
      </c>
      <c r="C58" s="243">
        <v>41.3</v>
      </c>
      <c r="D58" s="243">
        <v>392.3</v>
      </c>
      <c r="E58" s="242" t="str">
        <f>"4/56"</f>
        <v>4/56</v>
      </c>
      <c r="F58" s="242" t="s">
        <v>705</v>
      </c>
      <c r="G58" s="211"/>
      <c r="H58" s="210">
        <v>200</v>
      </c>
      <c r="I58" s="207">
        <v>101.94</v>
      </c>
      <c r="J58" s="394" t="s">
        <v>537</v>
      </c>
    </row>
    <row r="59" spans="1:11" ht="18.75" x14ac:dyDescent="0.3">
      <c r="A59" s="243">
        <v>0.18</v>
      </c>
      <c r="B59" s="243">
        <v>0.04</v>
      </c>
      <c r="C59" s="243">
        <v>13.75</v>
      </c>
      <c r="D59" s="243">
        <v>53.136642799999997</v>
      </c>
      <c r="E59" s="242" t="str">
        <f>"11/56"</f>
        <v>11/56</v>
      </c>
      <c r="F59" s="242" t="s">
        <v>499</v>
      </c>
      <c r="G59" s="211"/>
      <c r="H59" s="210">
        <v>200</v>
      </c>
      <c r="I59" s="207">
        <v>8.15</v>
      </c>
      <c r="J59" s="394" t="s">
        <v>477</v>
      </c>
    </row>
    <row r="60" spans="1:11" ht="18.75" x14ac:dyDescent="0.3">
      <c r="A60" s="264">
        <v>2</v>
      </c>
      <c r="B60" s="264">
        <v>0.4</v>
      </c>
      <c r="C60" s="264">
        <v>10</v>
      </c>
      <c r="D60" s="264">
        <v>58</v>
      </c>
      <c r="E60" s="381" t="str">
        <f>"-"</f>
        <v>-</v>
      </c>
      <c r="F60" s="381" t="s">
        <v>707</v>
      </c>
      <c r="G60" s="211"/>
      <c r="H60" s="206">
        <v>30</v>
      </c>
      <c r="I60" s="207">
        <v>2.7</v>
      </c>
      <c r="J60" s="394" t="s">
        <v>541</v>
      </c>
      <c r="K60" s="237"/>
    </row>
    <row r="61" spans="1:11" ht="18.75" x14ac:dyDescent="0.3">
      <c r="A61" s="264">
        <v>0.52</v>
      </c>
      <c r="B61" s="264">
        <v>0.52</v>
      </c>
      <c r="C61" s="264">
        <v>15.08</v>
      </c>
      <c r="D61" s="264">
        <v>63.283999999999985</v>
      </c>
      <c r="E61" s="381" t="str">
        <f>"-"</f>
        <v>-</v>
      </c>
      <c r="F61" s="381" t="s">
        <v>708</v>
      </c>
      <c r="G61" s="211"/>
      <c r="H61" s="206">
        <v>130</v>
      </c>
      <c r="I61" s="207">
        <v>25.78</v>
      </c>
      <c r="J61" s="394" t="s">
        <v>475</v>
      </c>
      <c r="K61" s="237"/>
    </row>
    <row r="62" spans="1:11" ht="18.75" x14ac:dyDescent="0.3">
      <c r="A62" s="465" t="s">
        <v>25</v>
      </c>
      <c r="B62" s="466"/>
      <c r="C62" s="466"/>
      <c r="D62" s="466"/>
      <c r="E62" s="466"/>
      <c r="F62" s="466"/>
      <c r="G62" s="466"/>
      <c r="H62" s="466"/>
      <c r="I62" s="467"/>
      <c r="J62" s="201" t="str">
        <f>IFERROR(VLOOKUP(O62,Реестр!#REF!,3,0)*Q62/P62,"")</f>
        <v/>
      </c>
      <c r="K62" s="237"/>
    </row>
    <row r="63" spans="1:11" s="234" customFormat="1" ht="30" x14ac:dyDescent="0.25">
      <c r="A63" s="383">
        <v>2.2999999999999998</v>
      </c>
      <c r="B63" s="383">
        <v>6.01</v>
      </c>
      <c r="C63" s="383">
        <v>4.01</v>
      </c>
      <c r="D63" s="383">
        <v>72.147796</v>
      </c>
      <c r="E63" s="242" t="s">
        <v>709</v>
      </c>
      <c r="F63" s="242" t="s">
        <v>710</v>
      </c>
      <c r="G63" s="211" t="str">
        <f>IFERROR(VLOOKUP(F63,[2]Реестр!A:K,2,0),"")</f>
        <v/>
      </c>
      <c r="H63" s="210">
        <v>100</v>
      </c>
      <c r="I63" s="230">
        <v>56.17</v>
      </c>
      <c r="J63" s="239" t="s">
        <v>538</v>
      </c>
      <c r="K63" s="240"/>
    </row>
    <row r="64" spans="1:11" ht="18.75" x14ac:dyDescent="0.3">
      <c r="A64" s="263">
        <v>4.1100000000000003</v>
      </c>
      <c r="B64" s="263">
        <v>4.7699999999999996</v>
      </c>
      <c r="C64" s="263">
        <v>26.5</v>
      </c>
      <c r="D64" s="263">
        <v>213.5</v>
      </c>
      <c r="E64" s="242" t="s">
        <v>711</v>
      </c>
      <c r="F64" s="242" t="s">
        <v>716</v>
      </c>
      <c r="G64" s="211" t="str">
        <f>IFERROR(VLOOKUP(F64,[2]Реестр!A:K,2,0),"")</f>
        <v/>
      </c>
      <c r="H64" s="206">
        <v>250</v>
      </c>
      <c r="I64" s="207">
        <v>50</v>
      </c>
      <c r="J64" s="394" t="s">
        <v>478</v>
      </c>
      <c r="K64" s="237"/>
    </row>
    <row r="65" spans="1:12" ht="18.75" x14ac:dyDescent="0.3">
      <c r="A65" s="348">
        <v>17.5</v>
      </c>
      <c r="B65" s="348">
        <v>15.6</v>
      </c>
      <c r="C65" s="348">
        <v>42.3</v>
      </c>
      <c r="D65" s="348">
        <v>265.7</v>
      </c>
      <c r="E65" s="242" t="s">
        <v>712</v>
      </c>
      <c r="F65" s="242" t="s">
        <v>713</v>
      </c>
      <c r="G65" s="211" t="str">
        <f>IFERROR(VLOOKUP(F65,[2]Реестр!A:K,2,0),"")</f>
        <v/>
      </c>
      <c r="H65" s="206">
        <v>250</v>
      </c>
      <c r="I65" s="206">
        <v>130.94</v>
      </c>
      <c r="J65" s="394" t="s">
        <v>537</v>
      </c>
      <c r="K65" s="237"/>
    </row>
    <row r="66" spans="1:12" ht="18.75" x14ac:dyDescent="0.3">
      <c r="A66" s="263">
        <v>3.94</v>
      </c>
      <c r="B66" s="263">
        <v>5.1100000000000003</v>
      </c>
      <c r="C66" s="263">
        <v>27.5</v>
      </c>
      <c r="D66" s="263">
        <v>170.19544859999999</v>
      </c>
      <c r="E66" s="242" t="s">
        <v>714</v>
      </c>
      <c r="F66" s="386" t="s">
        <v>328</v>
      </c>
      <c r="G66" s="211">
        <f>IFERROR(VLOOKUP(F66,[2]Реестр!A:K,2,0),"")</f>
        <v>200</v>
      </c>
      <c r="H66" s="206">
        <v>200</v>
      </c>
      <c r="I66" s="207">
        <v>19.54</v>
      </c>
      <c r="J66" s="394" t="s">
        <v>29</v>
      </c>
      <c r="K66" s="237"/>
    </row>
    <row r="67" spans="1:12" ht="18.75" x14ac:dyDescent="0.3">
      <c r="A67" s="264">
        <v>0.14000000000000001</v>
      </c>
      <c r="B67" s="264">
        <v>0.1</v>
      </c>
      <c r="C67" s="264">
        <v>1.5</v>
      </c>
      <c r="D67" s="264">
        <v>83.962620000000015</v>
      </c>
      <c r="E67" s="242" t="s">
        <v>471</v>
      </c>
      <c r="F67" s="242" t="s">
        <v>715</v>
      </c>
      <c r="G67" s="211" t="str">
        <f>IFERROR(VLOOKUP(F67,[2]Реестр!A:K,2,0),"")</f>
        <v/>
      </c>
      <c r="H67" s="206">
        <v>50</v>
      </c>
      <c r="I67" s="207">
        <v>4.5</v>
      </c>
      <c r="J67" s="394" t="s">
        <v>479</v>
      </c>
      <c r="K67" s="208"/>
    </row>
    <row r="68" spans="1:12" ht="18.75" x14ac:dyDescent="0.3">
      <c r="A68" s="264">
        <v>3.3</v>
      </c>
      <c r="B68" s="264">
        <v>0.3</v>
      </c>
      <c r="C68" s="264">
        <v>23.4</v>
      </c>
      <c r="D68" s="264">
        <v>112</v>
      </c>
      <c r="E68" s="381" t="s">
        <v>471</v>
      </c>
      <c r="F68" s="381" t="s">
        <v>707</v>
      </c>
      <c r="G68" s="211" t="str">
        <f>IFERROR(VLOOKUP(F68,[2]Реестр!A:K,2,0),"")</f>
        <v/>
      </c>
      <c r="H68" s="206">
        <v>50</v>
      </c>
      <c r="I68" s="207">
        <v>4.25</v>
      </c>
      <c r="J68" s="394" t="s">
        <v>23</v>
      </c>
    </row>
    <row r="69" spans="1:12" ht="18.75" x14ac:dyDescent="0.3">
      <c r="A69" s="209"/>
      <c r="B69" s="209"/>
      <c r="C69" s="209"/>
      <c r="D69" s="209"/>
      <c r="E69" s="218"/>
      <c r="F69" s="217"/>
      <c r="G69" s="211"/>
      <c r="H69" s="206"/>
      <c r="I69" s="207"/>
      <c r="J69" s="394" t="s">
        <v>540</v>
      </c>
    </row>
    <row r="70" spans="1:12" ht="18" customHeight="1" x14ac:dyDescent="0.3">
      <c r="A70" s="464" t="s">
        <v>16</v>
      </c>
      <c r="B70" s="464"/>
      <c r="C70" s="464"/>
      <c r="D70" s="464"/>
      <c r="E70" s="464"/>
      <c r="F70" s="464"/>
      <c r="G70" s="206"/>
      <c r="H70" s="206"/>
      <c r="I70" s="207">
        <f>SUM(I57:I61)+SUM(I63:I69)</f>
        <v>442.34000000000003</v>
      </c>
      <c r="J70" s="201">
        <v>246.31</v>
      </c>
      <c r="K70" s="208">
        <f>J70-I70</f>
        <v>-196.03000000000003</v>
      </c>
    </row>
    <row r="71" spans="1:12" ht="18.75" x14ac:dyDescent="0.3">
      <c r="A71" s="465" t="s">
        <v>34</v>
      </c>
      <c r="B71" s="466"/>
      <c r="C71" s="466"/>
      <c r="D71" s="466"/>
      <c r="E71" s="466"/>
      <c r="F71" s="466"/>
      <c r="G71" s="466"/>
      <c r="H71" s="466"/>
      <c r="I71" s="467"/>
      <c r="J71" s="206"/>
      <c r="K71" s="208"/>
    </row>
    <row r="72" spans="1:12" ht="18.75" x14ac:dyDescent="0.25">
      <c r="A72" s="263">
        <v>0.48</v>
      </c>
      <c r="B72" s="263">
        <v>2.37</v>
      </c>
      <c r="C72" s="263">
        <v>3.09</v>
      </c>
      <c r="D72" s="263">
        <v>36.64</v>
      </c>
      <c r="E72" s="384" t="str">
        <f>"7/26"</f>
        <v>7/26</v>
      </c>
      <c r="F72" s="385" t="s">
        <v>717</v>
      </c>
      <c r="G72" s="211" t="str">
        <f>IFERROR(VLOOKUP(F72,[1]Реестр!A:K,2,0),"")</f>
        <v/>
      </c>
      <c r="H72" s="210">
        <v>30</v>
      </c>
      <c r="I72" s="230">
        <v>19.260000000000002</v>
      </c>
    </row>
    <row r="73" spans="1:12" ht="18.75" x14ac:dyDescent="0.3">
      <c r="A73" s="348">
        <v>19.440000000000001</v>
      </c>
      <c r="B73" s="348">
        <v>19.420000000000002</v>
      </c>
      <c r="C73" s="348">
        <v>57.63</v>
      </c>
      <c r="D73" s="348">
        <v>436.2</v>
      </c>
      <c r="E73" s="242" t="s">
        <v>712</v>
      </c>
      <c r="F73" s="242" t="s">
        <v>713</v>
      </c>
      <c r="G73" s="211" t="str">
        <f>IFERROR(VLOOKUP(F73,[2]Реестр!A:K,2,0),"")</f>
        <v/>
      </c>
      <c r="H73" s="206">
        <v>250</v>
      </c>
      <c r="I73" s="206">
        <v>130.94</v>
      </c>
    </row>
    <row r="74" spans="1:12" ht="18.75" x14ac:dyDescent="0.3">
      <c r="A74" s="263">
        <v>0.18</v>
      </c>
      <c r="B74" s="263">
        <v>0.05</v>
      </c>
      <c r="C74" s="263">
        <v>0.32</v>
      </c>
      <c r="D74" s="263">
        <v>37.582527999999996</v>
      </c>
      <c r="E74" s="242" t="s">
        <v>714</v>
      </c>
      <c r="F74" s="386" t="s">
        <v>328</v>
      </c>
      <c r="G74" s="211">
        <f>IFERROR(VLOOKUP(F74,[2]Реестр!A:K,2,0),"")</f>
        <v>200</v>
      </c>
      <c r="H74" s="206">
        <v>200</v>
      </c>
      <c r="I74" s="207">
        <v>19.54</v>
      </c>
    </row>
    <row r="75" spans="1:12" ht="18.75" x14ac:dyDescent="0.3">
      <c r="A75" s="264">
        <v>3.3</v>
      </c>
      <c r="B75" s="264">
        <v>0.3</v>
      </c>
      <c r="C75" s="264">
        <v>23.4</v>
      </c>
      <c r="D75" s="264">
        <v>112</v>
      </c>
      <c r="E75" s="242" t="str">
        <f>"-"</f>
        <v>-</v>
      </c>
      <c r="F75" s="387" t="s">
        <v>715</v>
      </c>
      <c r="G75" s="211" t="str">
        <f>IFERROR(VLOOKUP(F75,[2]Реестр!A:K,2,0),"")</f>
        <v/>
      </c>
      <c r="H75" s="206">
        <v>50</v>
      </c>
      <c r="I75" s="207">
        <v>4.5</v>
      </c>
    </row>
    <row r="76" spans="1:12" ht="18.75" x14ac:dyDescent="0.3">
      <c r="A76" s="264">
        <v>2</v>
      </c>
      <c r="B76" s="264">
        <v>0.4</v>
      </c>
      <c r="C76" s="264">
        <v>10</v>
      </c>
      <c r="D76" s="264">
        <v>58</v>
      </c>
      <c r="E76" s="381" t="str">
        <f>"-"</f>
        <v>-</v>
      </c>
      <c r="F76" s="381" t="s">
        <v>707</v>
      </c>
      <c r="G76" s="211" t="str">
        <f>IFERROR(VLOOKUP(F76,[2]Реестр!A:K,2,0),"")</f>
        <v/>
      </c>
      <c r="H76" s="206">
        <v>30</v>
      </c>
      <c r="I76" s="207">
        <v>2.7</v>
      </c>
    </row>
    <row r="77" spans="1:12" ht="18.75" x14ac:dyDescent="0.3">
      <c r="A77" s="196"/>
      <c r="B77" s="196"/>
      <c r="C77" s="196"/>
      <c r="D77" s="196"/>
      <c r="E77" s="197"/>
      <c r="F77" s="204"/>
      <c r="G77" s="199"/>
      <c r="H77" s="200"/>
      <c r="I77" s="203"/>
    </row>
    <row r="78" spans="1:12" ht="18.75" x14ac:dyDescent="0.3">
      <c r="A78" s="453" t="s">
        <v>16</v>
      </c>
      <c r="B78" s="454"/>
      <c r="C78" s="454"/>
      <c r="D78" s="454"/>
      <c r="E78" s="454"/>
      <c r="F78" s="455"/>
      <c r="G78" s="205"/>
      <c r="H78" s="206"/>
      <c r="I78" s="207">
        <f>SUM(I72:I77)</f>
        <v>176.93999999999997</v>
      </c>
      <c r="J78" s="215">
        <v>98.52</v>
      </c>
      <c r="L78" s="208">
        <f>J78-I78</f>
        <v>-78.419999999999973</v>
      </c>
    </row>
    <row r="79" spans="1:12" ht="18.75" x14ac:dyDescent="0.25">
      <c r="A79" s="477" t="s">
        <v>35</v>
      </c>
      <c r="B79" s="478"/>
      <c r="C79" s="478"/>
      <c r="D79" s="478"/>
      <c r="E79" s="478"/>
      <c r="F79" s="478"/>
      <c r="G79" s="478"/>
      <c r="H79" s="478"/>
      <c r="I79" s="479"/>
    </row>
    <row r="80" spans="1:12" ht="18.75" x14ac:dyDescent="0.3">
      <c r="A80" s="219">
        <v>7.7</v>
      </c>
      <c r="B80" s="219">
        <v>7.42</v>
      </c>
      <c r="C80" s="219">
        <v>32.090000000000003</v>
      </c>
      <c r="D80" s="219">
        <v>225.88</v>
      </c>
      <c r="E80" s="416" t="s">
        <v>408</v>
      </c>
      <c r="F80" s="406" t="s">
        <v>529</v>
      </c>
      <c r="G80" s="211">
        <f>IFERROR(VLOOKUP(F80,[2]Реестр!A:K,2,0),"")</f>
        <v>100</v>
      </c>
      <c r="H80" s="206">
        <v>80</v>
      </c>
      <c r="I80" s="207">
        <v>50</v>
      </c>
      <c r="K80" s="208"/>
    </row>
    <row r="81" spans="1:12" ht="18.75" x14ac:dyDescent="0.3">
      <c r="A81" s="453" t="s">
        <v>16</v>
      </c>
      <c r="B81" s="454"/>
      <c r="C81" s="454"/>
      <c r="D81" s="454"/>
      <c r="E81" s="454"/>
      <c r="F81" s="455"/>
      <c r="G81" s="205"/>
      <c r="H81" s="206"/>
      <c r="I81" s="207">
        <f>I80</f>
        <v>50</v>
      </c>
      <c r="J81" s="215">
        <v>29</v>
      </c>
    </row>
    <row r="82" spans="1:12" ht="18.75" x14ac:dyDescent="0.3">
      <c r="A82" s="465" t="s">
        <v>36</v>
      </c>
      <c r="B82" s="466"/>
      <c r="C82" s="466"/>
      <c r="D82" s="466"/>
      <c r="E82" s="466"/>
      <c r="F82" s="466"/>
      <c r="G82" s="466"/>
      <c r="H82" s="466"/>
      <c r="I82" s="467"/>
    </row>
    <row r="83" spans="1:12" ht="18.75" x14ac:dyDescent="0.3">
      <c r="A83" s="263">
        <v>4.1100000000000003</v>
      </c>
      <c r="B83" s="263">
        <v>4.7699999999999996</v>
      </c>
      <c r="C83" s="263">
        <v>26.5</v>
      </c>
      <c r="D83" s="263">
        <v>213.5</v>
      </c>
      <c r="E83" s="242" t="s">
        <v>711</v>
      </c>
      <c r="F83" s="242" t="s">
        <v>716</v>
      </c>
      <c r="G83" s="211" t="str">
        <f>IFERROR(VLOOKUP(F83,[2]Реестр!A:K,2,0),"")</f>
        <v/>
      </c>
      <c r="H83" s="206">
        <v>250</v>
      </c>
      <c r="I83" s="207">
        <v>50</v>
      </c>
    </row>
    <row r="84" spans="1:12" ht="18.75" x14ac:dyDescent="0.3">
      <c r="A84" s="453" t="s">
        <v>16</v>
      </c>
      <c r="B84" s="454"/>
      <c r="C84" s="454"/>
      <c r="D84" s="454"/>
      <c r="E84" s="454"/>
      <c r="F84" s="455"/>
      <c r="G84" s="205"/>
      <c r="H84" s="206"/>
      <c r="I84" s="207">
        <f>SUM(I83:I83)</f>
        <v>50</v>
      </c>
      <c r="J84" s="215">
        <v>27</v>
      </c>
    </row>
    <row r="85" spans="1:12" ht="18.75" x14ac:dyDescent="0.3">
      <c r="A85" s="465" t="s">
        <v>503</v>
      </c>
      <c r="B85" s="466"/>
      <c r="C85" s="466"/>
      <c r="D85" s="466"/>
      <c r="E85" s="466"/>
      <c r="F85" s="466"/>
      <c r="G85" s="466"/>
      <c r="H85" s="466"/>
      <c r="I85" s="467"/>
    </row>
    <row r="86" spans="1:12" s="234" customFormat="1" ht="27" customHeight="1" x14ac:dyDescent="0.25">
      <c r="A86" s="383">
        <v>2.2999999999999998</v>
      </c>
      <c r="B86" s="383">
        <v>6.01</v>
      </c>
      <c r="C86" s="383">
        <v>4.01</v>
      </c>
      <c r="D86" s="383">
        <v>72.147796</v>
      </c>
      <c r="E86" s="242" t="s">
        <v>709</v>
      </c>
      <c r="F86" s="242" t="s">
        <v>710</v>
      </c>
      <c r="G86" s="211" t="str">
        <f>IFERROR(VLOOKUP(F86,[2]Реестр!A:K,2,0),"")</f>
        <v/>
      </c>
      <c r="H86" s="210">
        <v>100</v>
      </c>
      <c r="I86" s="230">
        <v>56.17</v>
      </c>
      <c r="J86" s="268"/>
    </row>
    <row r="87" spans="1:12" ht="18.75" x14ac:dyDescent="0.3">
      <c r="A87" s="263">
        <v>4.1100000000000003</v>
      </c>
      <c r="B87" s="263">
        <v>4.7699999999999996</v>
      </c>
      <c r="C87" s="263">
        <v>26.5</v>
      </c>
      <c r="D87" s="263">
        <v>213.5</v>
      </c>
      <c r="E87" s="242" t="s">
        <v>711</v>
      </c>
      <c r="F87" s="242" t="s">
        <v>716</v>
      </c>
      <c r="G87" s="211" t="str">
        <f>IFERROR(VLOOKUP(F87,[2]Реестр!A:K,2,0),"")</f>
        <v/>
      </c>
      <c r="H87" s="206">
        <v>250</v>
      </c>
      <c r="I87" s="207">
        <v>50</v>
      </c>
    </row>
    <row r="88" spans="1:12" ht="18.75" x14ac:dyDescent="0.3">
      <c r="A88" s="348">
        <v>17.5</v>
      </c>
      <c r="B88" s="348">
        <v>15.6</v>
      </c>
      <c r="C88" s="348">
        <v>42.3</v>
      </c>
      <c r="D88" s="348">
        <v>265.7</v>
      </c>
      <c r="E88" s="242" t="s">
        <v>712</v>
      </c>
      <c r="F88" s="242" t="s">
        <v>713</v>
      </c>
      <c r="G88" s="211" t="str">
        <f>IFERROR(VLOOKUP(F88,[2]Реестр!A:K,2,0),"")</f>
        <v/>
      </c>
      <c r="H88" s="206">
        <v>250</v>
      </c>
      <c r="I88" s="206">
        <v>130.94</v>
      </c>
    </row>
    <row r="89" spans="1:12" ht="18.75" x14ac:dyDescent="0.3">
      <c r="A89" s="263">
        <v>3.94</v>
      </c>
      <c r="B89" s="263">
        <v>5.1100000000000003</v>
      </c>
      <c r="C89" s="263">
        <v>27.5</v>
      </c>
      <c r="D89" s="263">
        <v>170.19544859999999</v>
      </c>
      <c r="E89" s="242" t="s">
        <v>714</v>
      </c>
      <c r="F89" s="386" t="s">
        <v>328</v>
      </c>
      <c r="G89" s="211">
        <f>IFERROR(VLOOKUP(F89,[2]Реестр!A:K,2,0),"")</f>
        <v>200</v>
      </c>
      <c r="H89" s="206">
        <v>200</v>
      </c>
      <c r="I89" s="207">
        <v>19.54</v>
      </c>
    </row>
    <row r="90" spans="1:12" ht="18.75" x14ac:dyDescent="0.3">
      <c r="A90" s="264">
        <v>0.14000000000000001</v>
      </c>
      <c r="B90" s="264">
        <v>0.1</v>
      </c>
      <c r="C90" s="264">
        <v>1.5</v>
      </c>
      <c r="D90" s="264">
        <v>83.962620000000015</v>
      </c>
      <c r="E90" s="242" t="s">
        <v>471</v>
      </c>
      <c r="F90" s="242" t="s">
        <v>715</v>
      </c>
      <c r="G90" s="211" t="str">
        <f>IFERROR(VLOOKUP(F90,[2]Реестр!A:K,2,0),"")</f>
        <v/>
      </c>
      <c r="H90" s="206">
        <v>50</v>
      </c>
      <c r="I90" s="207">
        <v>4.5</v>
      </c>
    </row>
    <row r="91" spans="1:12" ht="18.75" x14ac:dyDescent="0.3">
      <c r="A91" s="264">
        <v>3.3</v>
      </c>
      <c r="B91" s="264">
        <v>0.3</v>
      </c>
      <c r="C91" s="264">
        <v>23.4</v>
      </c>
      <c r="D91" s="264">
        <v>112</v>
      </c>
      <c r="E91" s="381" t="s">
        <v>471</v>
      </c>
      <c r="F91" s="381" t="s">
        <v>707</v>
      </c>
      <c r="G91" s="211" t="str">
        <f>IFERROR(VLOOKUP(F91,[2]Реестр!A:K,2,0),"")</f>
        <v/>
      </c>
      <c r="H91" s="206">
        <v>50</v>
      </c>
      <c r="I91" s="207">
        <v>4.25</v>
      </c>
    </row>
    <row r="92" spans="1:12" ht="18.75" x14ac:dyDescent="0.3">
      <c r="A92" s="196"/>
      <c r="B92" s="196"/>
      <c r="C92" s="196"/>
      <c r="D92" s="196"/>
      <c r="E92" s="214"/>
      <c r="F92" s="204"/>
      <c r="G92" s="199"/>
      <c r="H92" s="200"/>
      <c r="I92" s="203"/>
      <c r="K92" s="208"/>
    </row>
    <row r="93" spans="1:12" ht="18.75" x14ac:dyDescent="0.3">
      <c r="A93" s="464" t="s">
        <v>16</v>
      </c>
      <c r="B93" s="464"/>
      <c r="C93" s="464"/>
      <c r="D93" s="464"/>
      <c r="E93" s="464"/>
      <c r="F93" s="464"/>
      <c r="G93" s="205"/>
      <c r="H93" s="206"/>
      <c r="I93" s="207">
        <f>SUM(I86:I92)</f>
        <v>265.40000000000003</v>
      </c>
      <c r="J93" s="215">
        <v>147.79</v>
      </c>
      <c r="L93" s="208">
        <f>J93-I93</f>
        <v>-117.61000000000004</v>
      </c>
    </row>
    <row r="94" spans="1:12" ht="18.75" x14ac:dyDescent="0.3">
      <c r="A94" s="462" t="s">
        <v>544</v>
      </c>
      <c r="B94" s="462"/>
      <c r="C94" s="462"/>
      <c r="D94" s="462"/>
      <c r="E94" s="462"/>
      <c r="F94" s="462"/>
      <c r="G94" s="462"/>
      <c r="H94" s="462"/>
      <c r="I94" s="462"/>
      <c r="K94" s="208"/>
    </row>
    <row r="95" spans="1:12" ht="18.75" x14ac:dyDescent="0.25">
      <c r="A95" s="243">
        <v>3.76</v>
      </c>
      <c r="B95" s="243">
        <v>3.05</v>
      </c>
      <c r="C95" s="243">
        <v>13.8</v>
      </c>
      <c r="D95" s="243">
        <v>93.762559999999993</v>
      </c>
      <c r="E95" s="242" t="s">
        <v>732</v>
      </c>
      <c r="F95" s="387" t="s">
        <v>706</v>
      </c>
      <c r="G95" s="211" t="str">
        <f>IFERROR(VLOOKUP(F95,[1]Реестр!A:K,2,0),"")</f>
        <v/>
      </c>
      <c r="H95" s="243" t="s">
        <v>87</v>
      </c>
      <c r="I95" s="450">
        <v>149.52000000000001</v>
      </c>
      <c r="K95" s="208"/>
    </row>
    <row r="96" spans="1:12" ht="33.75" customHeight="1" x14ac:dyDescent="0.25">
      <c r="A96" s="243">
        <v>13.79</v>
      </c>
      <c r="B96" s="243">
        <v>20.23</v>
      </c>
      <c r="C96" s="243">
        <v>3.57</v>
      </c>
      <c r="D96" s="243">
        <v>251.02964924999998</v>
      </c>
      <c r="E96" s="242" t="s">
        <v>733</v>
      </c>
      <c r="F96" s="387" t="s">
        <v>705</v>
      </c>
      <c r="G96" s="211" t="str">
        <f>IFERROR(VLOOKUP(F96,[1]Реестр!A:K,2,0),"")</f>
        <v/>
      </c>
      <c r="H96" s="243" t="s">
        <v>147</v>
      </c>
      <c r="I96" s="451"/>
      <c r="K96" s="208"/>
    </row>
    <row r="97" spans="1:12" ht="18.75" x14ac:dyDescent="0.25">
      <c r="A97" s="243">
        <v>0.18</v>
      </c>
      <c r="B97" s="243">
        <v>0.04</v>
      </c>
      <c r="C97" s="243">
        <v>13.75</v>
      </c>
      <c r="D97" s="243">
        <v>53.136642799999997</v>
      </c>
      <c r="E97" s="242" t="s">
        <v>734</v>
      </c>
      <c r="F97" s="387" t="s">
        <v>632</v>
      </c>
      <c r="G97" s="211" t="str">
        <f>IFERROR(VLOOKUP(F97,[1]Реестр!A:K,2,0),"")</f>
        <v/>
      </c>
      <c r="H97" s="243" t="s">
        <v>118</v>
      </c>
      <c r="I97" s="451"/>
      <c r="K97" s="208"/>
    </row>
    <row r="98" spans="1:12" ht="18.75" x14ac:dyDescent="0.25">
      <c r="A98" s="241">
        <v>1.32</v>
      </c>
      <c r="B98" s="241">
        <v>0.24</v>
      </c>
      <c r="C98" s="241">
        <v>8.34</v>
      </c>
      <c r="D98" s="241">
        <v>38.676000000000002</v>
      </c>
      <c r="E98" s="381" t="str">
        <f>"-"</f>
        <v>-</v>
      </c>
      <c r="F98" s="381" t="s">
        <v>707</v>
      </c>
      <c r="G98" s="211" t="str">
        <f>IFERROR(VLOOKUP(F98,[1]Реестр!A:K,2,0),"")</f>
        <v/>
      </c>
      <c r="H98" s="264" t="str">
        <f>"20"</f>
        <v>20</v>
      </c>
      <c r="I98" s="451"/>
      <c r="K98" s="208"/>
    </row>
    <row r="99" spans="1:12" ht="18.75" x14ac:dyDescent="0.25">
      <c r="A99" s="241">
        <v>1.32</v>
      </c>
      <c r="B99" s="241">
        <v>0.24</v>
      </c>
      <c r="C99" s="241">
        <v>0</v>
      </c>
      <c r="D99" s="241">
        <v>38.676000000000002</v>
      </c>
      <c r="E99" s="381" t="s">
        <v>471</v>
      </c>
      <c r="F99" s="381" t="s">
        <v>708</v>
      </c>
      <c r="G99" s="211" t="str">
        <f>IFERROR(VLOOKUP(F99,[1]Реестр!A:K,2,0),"")</f>
        <v/>
      </c>
      <c r="H99" s="264" t="s">
        <v>735</v>
      </c>
      <c r="I99" s="452"/>
      <c r="K99" s="208"/>
    </row>
    <row r="100" spans="1:12" ht="18.75" x14ac:dyDescent="0.3">
      <c r="A100" s="464" t="s">
        <v>16</v>
      </c>
      <c r="B100" s="464"/>
      <c r="C100" s="464"/>
      <c r="D100" s="464"/>
      <c r="E100" s="464"/>
      <c r="F100" s="464"/>
      <c r="G100" s="205"/>
      <c r="H100" s="206"/>
      <c r="I100" s="207">
        <f>SUM(I95:I99)</f>
        <v>149.52000000000001</v>
      </c>
      <c r="K100" s="208"/>
    </row>
    <row r="101" spans="1:12" ht="18.75" x14ac:dyDescent="0.3">
      <c r="A101" s="462" t="s">
        <v>545</v>
      </c>
      <c r="B101" s="462"/>
      <c r="C101" s="462"/>
      <c r="D101" s="462"/>
      <c r="E101" s="462"/>
      <c r="F101" s="462"/>
      <c r="G101" s="462"/>
      <c r="H101" s="462"/>
      <c r="I101" s="462"/>
      <c r="J101" s="215">
        <v>85.2</v>
      </c>
      <c r="K101" s="208"/>
      <c r="L101" s="208">
        <f>J101-I101</f>
        <v>85.2</v>
      </c>
    </row>
    <row r="102" spans="1:12" ht="30" x14ac:dyDescent="0.25">
      <c r="A102" s="243">
        <v>17.96</v>
      </c>
      <c r="B102" s="243">
        <v>19.649999999999999</v>
      </c>
      <c r="C102" s="243">
        <v>1.04</v>
      </c>
      <c r="D102" s="243">
        <v>252.59813800000001</v>
      </c>
      <c r="E102" s="242" t="s">
        <v>740</v>
      </c>
      <c r="F102" s="242" t="s">
        <v>741</v>
      </c>
      <c r="G102" s="211" t="str">
        <f>IFERROR(VLOOKUP(F102,[1]Реестр!A:K,2,0),"")</f>
        <v>200</v>
      </c>
      <c r="H102" s="391">
        <v>150</v>
      </c>
      <c r="I102" s="450">
        <v>149.52000000000001</v>
      </c>
      <c r="K102" s="208"/>
    </row>
    <row r="103" spans="1:12" ht="28.5" customHeight="1" x14ac:dyDescent="0.25">
      <c r="A103" s="243">
        <v>0.18</v>
      </c>
      <c r="B103" s="243">
        <v>0.04</v>
      </c>
      <c r="C103" s="243">
        <v>13.75</v>
      </c>
      <c r="D103" s="243">
        <v>53.136642799999997</v>
      </c>
      <c r="E103" s="242" t="s">
        <v>742</v>
      </c>
      <c r="F103" s="242" t="s">
        <v>499</v>
      </c>
      <c r="G103" s="211" t="str">
        <f>IFERROR(VLOOKUP(F103,[1]Реестр!A:K,2,0),"")</f>
        <v>200</v>
      </c>
      <c r="H103" s="243" t="s">
        <v>118</v>
      </c>
      <c r="I103" s="451"/>
      <c r="K103" s="208"/>
    </row>
    <row r="104" spans="1:12" ht="18.75" x14ac:dyDescent="0.25">
      <c r="A104" s="241">
        <v>0.52</v>
      </c>
      <c r="B104" s="241">
        <v>0.52</v>
      </c>
      <c r="C104" s="241">
        <v>15.08</v>
      </c>
      <c r="D104" s="241">
        <v>63.283999999999985</v>
      </c>
      <c r="E104" s="242" t="s">
        <v>471</v>
      </c>
      <c r="F104" s="242" t="s">
        <v>708</v>
      </c>
      <c r="G104" s="211" t="str">
        <f>IFERROR(VLOOKUP(F104,[1]Реестр!A:K,2,0),"")</f>
        <v/>
      </c>
      <c r="H104" s="264" t="s">
        <v>735</v>
      </c>
      <c r="I104" s="451"/>
      <c r="K104" s="208"/>
    </row>
    <row r="105" spans="1:12" ht="18.75" x14ac:dyDescent="0.25">
      <c r="A105" s="241">
        <v>2.64</v>
      </c>
      <c r="B105" s="241">
        <v>0.48</v>
      </c>
      <c r="C105" s="241">
        <v>16.68</v>
      </c>
      <c r="D105" s="241">
        <v>77.352000000000004</v>
      </c>
      <c r="E105" s="242" t="s">
        <v>471</v>
      </c>
      <c r="F105" s="242" t="s">
        <v>715</v>
      </c>
      <c r="G105" s="211" t="str">
        <f>IFERROR(VLOOKUP(F105,[1]Реестр!A:K,2,0),"")</f>
        <v/>
      </c>
      <c r="H105" s="392">
        <v>40</v>
      </c>
      <c r="I105" s="451"/>
      <c r="K105" s="208"/>
    </row>
    <row r="106" spans="1:12" ht="18.75" x14ac:dyDescent="0.25">
      <c r="A106" s="241">
        <v>1.32</v>
      </c>
      <c r="B106" s="241">
        <v>0.24</v>
      </c>
      <c r="C106" s="241">
        <v>8.34</v>
      </c>
      <c r="D106" s="241">
        <v>38.676000000000002</v>
      </c>
      <c r="E106" s="381" t="str">
        <f>"-"</f>
        <v>-</v>
      </c>
      <c r="F106" s="381" t="s">
        <v>707</v>
      </c>
      <c r="G106" s="211" t="str">
        <f>IFERROR(VLOOKUP(F106,[1]Реестр!A:K,2,0),"")</f>
        <v/>
      </c>
      <c r="H106" s="264" t="str">
        <f>"20"</f>
        <v>20</v>
      </c>
      <c r="I106" s="451"/>
      <c r="K106" s="208"/>
    </row>
    <row r="107" spans="1:12" ht="18.75" x14ac:dyDescent="0.3">
      <c r="A107" s="209"/>
      <c r="B107" s="209"/>
      <c r="C107" s="209"/>
      <c r="D107" s="209"/>
      <c r="E107" s="210"/>
      <c r="F107" s="217"/>
      <c r="G107" s="211"/>
      <c r="H107" s="206"/>
      <c r="I107" s="452"/>
      <c r="K107" s="208"/>
    </row>
    <row r="108" spans="1:12" ht="18.75" x14ac:dyDescent="0.3">
      <c r="A108" s="464" t="s">
        <v>16</v>
      </c>
      <c r="B108" s="464"/>
      <c r="C108" s="464"/>
      <c r="D108" s="464"/>
      <c r="E108" s="464"/>
      <c r="F108" s="464"/>
      <c r="G108" s="205"/>
      <c r="H108" s="206"/>
      <c r="I108" s="207">
        <f>SUM(I102)</f>
        <v>149.52000000000001</v>
      </c>
      <c r="K108" s="208"/>
    </row>
    <row r="109" spans="1:12" ht="18.75" x14ac:dyDescent="0.3">
      <c r="A109" s="462" t="s">
        <v>566</v>
      </c>
      <c r="B109" s="462"/>
      <c r="C109" s="462"/>
      <c r="D109" s="462"/>
      <c r="E109" s="462"/>
      <c r="F109" s="462"/>
      <c r="G109" s="462"/>
      <c r="H109" s="462"/>
      <c r="I109" s="462"/>
      <c r="K109" s="208"/>
    </row>
    <row r="110" spans="1:12" ht="30" x14ac:dyDescent="0.25">
      <c r="A110" s="417">
        <v>0.7</v>
      </c>
      <c r="B110" s="243">
        <v>4.8099999999999996</v>
      </c>
      <c r="C110" s="243">
        <v>1.6</v>
      </c>
      <c r="D110" s="243">
        <v>57.718236800000007</v>
      </c>
      <c r="E110" s="242" t="str">
        <f>"7/13/1"</f>
        <v>7/13/1</v>
      </c>
      <c r="F110" s="242" t="s">
        <v>736</v>
      </c>
      <c r="G110" s="211" t="str">
        <f>IFERROR(VLOOKUP(F110,[2]Реестр!A:K,2,0),"")</f>
        <v/>
      </c>
      <c r="H110" s="263" t="s">
        <v>81</v>
      </c>
      <c r="I110" s="450">
        <v>224.27</v>
      </c>
      <c r="K110" s="208"/>
    </row>
    <row r="111" spans="1:12" ht="18.75" x14ac:dyDescent="0.25">
      <c r="A111" s="263">
        <v>4.1100000000000003</v>
      </c>
      <c r="B111" s="263">
        <v>4.7699999999999996</v>
      </c>
      <c r="C111" s="263">
        <v>39.56</v>
      </c>
      <c r="D111" s="263">
        <v>235.36</v>
      </c>
      <c r="E111" s="242" t="s">
        <v>711</v>
      </c>
      <c r="F111" s="242" t="s">
        <v>737</v>
      </c>
      <c r="G111" s="211" t="str">
        <f>IFERROR(VLOOKUP(F111,[2]Реестр!A:K,2,0),"")</f>
        <v/>
      </c>
      <c r="H111" s="243" t="str">
        <f>"250"</f>
        <v>250</v>
      </c>
      <c r="I111" s="451"/>
      <c r="K111" s="208"/>
    </row>
    <row r="112" spans="1:12" ht="18.75" x14ac:dyDescent="0.25">
      <c r="A112" s="263">
        <v>15.55</v>
      </c>
      <c r="B112" s="263">
        <v>15.9</v>
      </c>
      <c r="C112" s="263">
        <v>90.5</v>
      </c>
      <c r="D112" s="263">
        <v>408.6</v>
      </c>
      <c r="E112" s="242" t="s">
        <v>712</v>
      </c>
      <c r="F112" s="242" t="s">
        <v>713</v>
      </c>
      <c r="G112" s="211"/>
      <c r="H112" s="266">
        <v>200</v>
      </c>
      <c r="I112" s="451"/>
      <c r="K112" s="208"/>
    </row>
    <row r="113" spans="1:11" ht="18.75" x14ac:dyDescent="0.25">
      <c r="A113" s="263">
        <v>0.18</v>
      </c>
      <c r="B113" s="263">
        <v>0.05</v>
      </c>
      <c r="C113" s="263">
        <v>9.6300000000000008</v>
      </c>
      <c r="D113" s="263">
        <v>37.582527999999996</v>
      </c>
      <c r="E113" s="242" t="s">
        <v>738</v>
      </c>
      <c r="F113" s="242" t="s">
        <v>739</v>
      </c>
      <c r="G113" s="211"/>
      <c r="H113" s="263" t="s">
        <v>118</v>
      </c>
      <c r="I113" s="451"/>
      <c r="K113" s="208"/>
    </row>
    <row r="114" spans="1:11" ht="18.75" customHeight="1" x14ac:dyDescent="0.25">
      <c r="A114" s="241">
        <v>3.3</v>
      </c>
      <c r="B114" s="241">
        <v>0.6</v>
      </c>
      <c r="C114" s="241">
        <v>20.85</v>
      </c>
      <c r="D114" s="241">
        <v>96.69</v>
      </c>
      <c r="E114" s="242" t="str">
        <f>"-"</f>
        <v>-</v>
      </c>
      <c r="F114" s="242" t="s">
        <v>715</v>
      </c>
      <c r="G114" s="211"/>
      <c r="H114" s="264" t="str">
        <f>"40"</f>
        <v>40</v>
      </c>
      <c r="I114" s="451"/>
      <c r="K114" s="208"/>
    </row>
    <row r="115" spans="1:11" ht="18.75" x14ac:dyDescent="0.25">
      <c r="A115" s="264">
        <v>2.64</v>
      </c>
      <c r="B115" s="264">
        <v>0.48</v>
      </c>
      <c r="C115" s="264">
        <v>16.68</v>
      </c>
      <c r="D115" s="264">
        <v>77.352000000000004</v>
      </c>
      <c r="E115" s="381" t="str">
        <f>"-"</f>
        <v>-</v>
      </c>
      <c r="F115" s="381" t="s">
        <v>707</v>
      </c>
      <c r="G115" s="211" t="str">
        <f>IFERROR(VLOOKUP(F115,[2]Реестр!A:K,2,0),"")</f>
        <v/>
      </c>
      <c r="H115" s="264" t="str">
        <f>"40"</f>
        <v>40</v>
      </c>
      <c r="I115" s="451"/>
      <c r="K115" s="208"/>
    </row>
    <row r="116" spans="1:11" ht="18.75" x14ac:dyDescent="0.25">
      <c r="A116" s="241"/>
      <c r="B116" s="241"/>
      <c r="C116" s="241"/>
      <c r="D116" s="241"/>
      <c r="E116" s="265"/>
      <c r="F116" s="217"/>
      <c r="G116" s="211"/>
      <c r="H116" s="269"/>
      <c r="I116" s="451"/>
      <c r="K116" s="208"/>
    </row>
    <row r="117" spans="1:11" ht="18.75" x14ac:dyDescent="0.3">
      <c r="A117" s="464" t="s">
        <v>16</v>
      </c>
      <c r="B117" s="464"/>
      <c r="C117" s="464"/>
      <c r="D117" s="464"/>
      <c r="E117" s="464"/>
      <c r="F117" s="464"/>
      <c r="G117" s="205"/>
      <c r="H117" s="206"/>
      <c r="I117" s="207">
        <f>SUM(I110:I116)</f>
        <v>224.27</v>
      </c>
      <c r="K117" s="208"/>
    </row>
    <row r="118" spans="1:11" ht="18.75" x14ac:dyDescent="0.3">
      <c r="A118" s="462" t="s">
        <v>550</v>
      </c>
      <c r="B118" s="462"/>
      <c r="C118" s="462"/>
      <c r="D118" s="462"/>
      <c r="E118" s="462"/>
      <c r="F118" s="462"/>
      <c r="G118" s="462"/>
      <c r="H118" s="462"/>
      <c r="I118" s="462"/>
      <c r="K118" s="208"/>
    </row>
    <row r="119" spans="1:11" ht="30" x14ac:dyDescent="0.25">
      <c r="A119" s="417">
        <v>1.33</v>
      </c>
      <c r="B119" s="243">
        <v>5.12</v>
      </c>
      <c r="C119" s="243">
        <v>7.75</v>
      </c>
      <c r="D119" s="243">
        <v>73.52</v>
      </c>
      <c r="E119" s="242" t="s">
        <v>709</v>
      </c>
      <c r="F119" s="242" t="s">
        <v>710</v>
      </c>
      <c r="G119" s="211" t="str">
        <f>IFERROR(VLOOKUP(F119,[2]Реестр!A:K,2,0),"")</f>
        <v/>
      </c>
      <c r="H119" s="210">
        <v>80</v>
      </c>
      <c r="I119" s="450">
        <v>224.27</v>
      </c>
      <c r="K119" s="208"/>
    </row>
    <row r="120" spans="1:11" ht="18.75" x14ac:dyDescent="0.3">
      <c r="A120" s="263">
        <v>4.1100000000000003</v>
      </c>
      <c r="B120" s="263">
        <v>4.7699999999999996</v>
      </c>
      <c r="C120" s="263">
        <v>59.23</v>
      </c>
      <c r="D120" s="263">
        <v>143.13</v>
      </c>
      <c r="E120" s="242" t="str">
        <f>"6/65-1"</f>
        <v>6/65-1</v>
      </c>
      <c r="F120" s="242" t="s">
        <v>731</v>
      </c>
      <c r="G120" s="211" t="str">
        <f>IFERROR(VLOOKUP(F120,[2]Реестр!A:K,2,0),"")</f>
        <v/>
      </c>
      <c r="H120" s="206">
        <v>250</v>
      </c>
      <c r="I120" s="451"/>
      <c r="K120" s="208"/>
    </row>
    <row r="121" spans="1:11" ht="18.75" x14ac:dyDescent="0.3">
      <c r="A121" s="263">
        <v>15.55</v>
      </c>
      <c r="B121" s="263">
        <v>15.9</v>
      </c>
      <c r="C121" s="263">
        <v>90.5</v>
      </c>
      <c r="D121" s="263">
        <v>408.6</v>
      </c>
      <c r="E121" s="242" t="s">
        <v>712</v>
      </c>
      <c r="F121" s="242" t="s">
        <v>713</v>
      </c>
      <c r="G121" s="391">
        <v>200</v>
      </c>
      <c r="H121" s="206">
        <v>200</v>
      </c>
      <c r="I121" s="451"/>
      <c r="K121" s="208"/>
    </row>
    <row r="122" spans="1:11" ht="18.75" x14ac:dyDescent="0.3">
      <c r="A122" s="263">
        <v>0.18</v>
      </c>
      <c r="B122" s="263">
        <v>0.05</v>
      </c>
      <c r="C122" s="263">
        <v>0.32</v>
      </c>
      <c r="D122" s="263">
        <v>37.582527999999996</v>
      </c>
      <c r="E122" s="242" t="s">
        <v>714</v>
      </c>
      <c r="F122" s="242" t="s">
        <v>328</v>
      </c>
      <c r="G122" s="263" t="s">
        <v>118</v>
      </c>
      <c r="H122" s="206">
        <v>200</v>
      </c>
      <c r="I122" s="451"/>
      <c r="K122" s="208"/>
    </row>
    <row r="123" spans="1:11" ht="18.75" x14ac:dyDescent="0.3">
      <c r="A123" s="264">
        <v>2.64</v>
      </c>
      <c r="B123" s="264">
        <v>0.48</v>
      </c>
      <c r="C123" s="264">
        <v>16.68</v>
      </c>
      <c r="D123" s="264">
        <v>77.352000000000004</v>
      </c>
      <c r="E123" s="242" t="str">
        <f>"-"</f>
        <v>-</v>
      </c>
      <c r="F123" s="242" t="s">
        <v>715</v>
      </c>
      <c r="G123" s="392">
        <v>50</v>
      </c>
      <c r="H123" s="206">
        <v>40</v>
      </c>
      <c r="I123" s="451"/>
      <c r="K123" s="208"/>
    </row>
    <row r="124" spans="1:11" ht="18.75" x14ac:dyDescent="0.3">
      <c r="A124" s="264">
        <v>2.64</v>
      </c>
      <c r="B124" s="264">
        <v>0.48</v>
      </c>
      <c r="C124" s="264">
        <v>16.68</v>
      </c>
      <c r="D124" s="264">
        <v>77.352000000000004</v>
      </c>
      <c r="E124" s="381" t="str">
        <f>"-"</f>
        <v>-</v>
      </c>
      <c r="F124" s="381" t="s">
        <v>707</v>
      </c>
      <c r="G124" s="392">
        <v>30</v>
      </c>
      <c r="H124" s="206">
        <v>40</v>
      </c>
      <c r="I124" s="451"/>
      <c r="K124" s="208"/>
    </row>
    <row r="125" spans="1:11" ht="18.75" x14ac:dyDescent="0.25">
      <c r="A125" s="246"/>
      <c r="B125" s="246"/>
      <c r="C125" s="246"/>
      <c r="D125" s="246"/>
      <c r="E125" s="247"/>
      <c r="F125" s="204"/>
      <c r="G125" s="199"/>
      <c r="H125" s="246"/>
      <c r="I125" s="451"/>
      <c r="K125" s="208"/>
    </row>
    <row r="126" spans="1:11" ht="18.75" x14ac:dyDescent="0.3">
      <c r="A126" s="464" t="s">
        <v>16</v>
      </c>
      <c r="B126" s="464"/>
      <c r="C126" s="464"/>
      <c r="D126" s="464"/>
      <c r="E126" s="464"/>
      <c r="F126" s="464"/>
      <c r="G126" s="205"/>
      <c r="H126" s="206"/>
      <c r="I126" s="207">
        <f>SUM(I119)</f>
        <v>224.27</v>
      </c>
      <c r="K126" s="208"/>
    </row>
    <row r="127" spans="1:11" ht="18.75" x14ac:dyDescent="0.3">
      <c r="A127" s="462" t="s">
        <v>597</v>
      </c>
      <c r="B127" s="462"/>
      <c r="C127" s="462"/>
      <c r="D127" s="462"/>
      <c r="E127" s="462"/>
      <c r="F127" s="462"/>
      <c r="G127" s="462"/>
      <c r="H127" s="462"/>
      <c r="I127" s="462"/>
      <c r="K127" s="208"/>
    </row>
    <row r="128" spans="1:11" ht="18.75" x14ac:dyDescent="0.3">
      <c r="A128" s="219">
        <v>7.7</v>
      </c>
      <c r="B128" s="219">
        <v>7.42</v>
      </c>
      <c r="C128" s="219">
        <v>32.090000000000003</v>
      </c>
      <c r="D128" s="219">
        <v>225.88</v>
      </c>
      <c r="E128" s="416" t="s">
        <v>408</v>
      </c>
      <c r="F128" s="406" t="s">
        <v>529</v>
      </c>
      <c r="G128" s="221">
        <v>80</v>
      </c>
      <c r="H128" s="221">
        <v>100</v>
      </c>
      <c r="I128" s="399">
        <v>50</v>
      </c>
      <c r="K128" s="208"/>
    </row>
    <row r="129" spans="1:11" ht="18.75" x14ac:dyDescent="0.3">
      <c r="A129" s="263">
        <v>3.94</v>
      </c>
      <c r="B129" s="263">
        <v>5.1100000000000003</v>
      </c>
      <c r="C129" s="263">
        <v>27.5</v>
      </c>
      <c r="D129" s="263">
        <v>170.19544859999999</v>
      </c>
      <c r="E129" s="242" t="s">
        <v>714</v>
      </c>
      <c r="F129" s="386" t="s">
        <v>328</v>
      </c>
      <c r="G129" s="211">
        <f>IFERROR(VLOOKUP(F129,[2]Реестр!A:K,2,0),"")</f>
        <v>200</v>
      </c>
      <c r="H129" s="206">
        <v>200</v>
      </c>
      <c r="I129" s="207">
        <v>19.54</v>
      </c>
      <c r="K129" s="208"/>
    </row>
    <row r="130" spans="1:11" ht="18.75" x14ac:dyDescent="0.3">
      <c r="A130" s="464" t="s">
        <v>16</v>
      </c>
      <c r="B130" s="464"/>
      <c r="C130" s="464"/>
      <c r="D130" s="464"/>
      <c r="E130" s="464"/>
      <c r="F130" s="464"/>
      <c r="G130" s="205"/>
      <c r="H130" s="206"/>
      <c r="I130" s="207">
        <f>SUM(I128:I129)</f>
        <v>69.539999999999992</v>
      </c>
      <c r="K130" s="208"/>
    </row>
    <row r="131" spans="1:11" ht="18.75" x14ac:dyDescent="0.3">
      <c r="A131" s="481" t="s">
        <v>677</v>
      </c>
      <c r="B131" s="482"/>
      <c r="C131" s="482"/>
      <c r="D131" s="482"/>
      <c r="E131" s="482"/>
      <c r="F131" s="482"/>
      <c r="G131" s="482"/>
      <c r="H131" s="482"/>
      <c r="I131" s="483"/>
      <c r="K131" s="208"/>
    </row>
    <row r="132" spans="1:11" ht="18.75" x14ac:dyDescent="0.3">
      <c r="A132" s="263">
        <v>5.55</v>
      </c>
      <c r="B132" s="263">
        <v>7.8</v>
      </c>
      <c r="C132" s="263">
        <v>15.95</v>
      </c>
      <c r="D132" s="263">
        <v>199.78905478333331</v>
      </c>
      <c r="E132" s="242" t="s">
        <v>711</v>
      </c>
      <c r="F132" s="242" t="s">
        <v>716</v>
      </c>
      <c r="G132" s="206">
        <v>200</v>
      </c>
      <c r="H132" s="206">
        <v>200</v>
      </c>
      <c r="I132" s="450">
        <v>130.88</v>
      </c>
      <c r="K132" s="208"/>
    </row>
    <row r="133" spans="1:11" ht="18.75" x14ac:dyDescent="0.3">
      <c r="A133" s="263">
        <v>16.579999999999998</v>
      </c>
      <c r="B133" s="263">
        <v>19.5</v>
      </c>
      <c r="C133" s="263">
        <v>68.38</v>
      </c>
      <c r="D133" s="263">
        <v>327.07</v>
      </c>
      <c r="E133" s="242" t="s">
        <v>712</v>
      </c>
      <c r="F133" s="242" t="s">
        <v>713</v>
      </c>
      <c r="G133" s="206">
        <v>200</v>
      </c>
      <c r="H133" s="206">
        <v>200</v>
      </c>
      <c r="I133" s="451"/>
      <c r="K133" s="208"/>
    </row>
    <row r="134" spans="1:11" ht="18.75" x14ac:dyDescent="0.3">
      <c r="A134" s="263">
        <v>0.14000000000000001</v>
      </c>
      <c r="B134" s="263">
        <v>0.1</v>
      </c>
      <c r="C134" s="263">
        <v>1.5</v>
      </c>
      <c r="D134" s="263">
        <v>83.962620000000015</v>
      </c>
      <c r="E134" s="242" t="s">
        <v>714</v>
      </c>
      <c r="F134" s="242" t="s">
        <v>328</v>
      </c>
      <c r="G134" s="206">
        <v>200</v>
      </c>
      <c r="H134" s="206">
        <v>200</v>
      </c>
      <c r="I134" s="451"/>
      <c r="K134" s="208"/>
    </row>
    <row r="135" spans="1:11" ht="18.75" x14ac:dyDescent="0.3">
      <c r="A135" s="209">
        <v>2.64</v>
      </c>
      <c r="B135" s="209">
        <v>0.24</v>
      </c>
      <c r="C135" s="209">
        <v>18.72</v>
      </c>
      <c r="D135" s="209">
        <v>89.6</v>
      </c>
      <c r="E135" s="405" t="s">
        <v>471</v>
      </c>
      <c r="F135" s="408" t="s">
        <v>66</v>
      </c>
      <c r="G135" s="206">
        <v>40</v>
      </c>
      <c r="H135" s="206">
        <v>40</v>
      </c>
      <c r="I135" s="451"/>
      <c r="K135" s="208"/>
    </row>
    <row r="136" spans="1:11" ht="18.75" x14ac:dyDescent="0.3">
      <c r="A136" s="209">
        <v>2.64</v>
      </c>
      <c r="B136" s="209">
        <v>0.48</v>
      </c>
      <c r="C136" s="209">
        <v>13.36</v>
      </c>
      <c r="D136" s="209">
        <v>77.2</v>
      </c>
      <c r="E136" s="405" t="s">
        <v>471</v>
      </c>
      <c r="F136" s="408" t="s">
        <v>65</v>
      </c>
      <c r="G136" s="206">
        <v>40</v>
      </c>
      <c r="H136" s="206">
        <v>40</v>
      </c>
      <c r="I136" s="452"/>
      <c r="K136" s="208"/>
    </row>
    <row r="137" spans="1:11" ht="18.75" x14ac:dyDescent="0.3">
      <c r="A137" s="453" t="s">
        <v>16</v>
      </c>
      <c r="B137" s="454"/>
      <c r="C137" s="454"/>
      <c r="D137" s="454"/>
      <c r="E137" s="454"/>
      <c r="F137" s="455"/>
      <c r="G137" s="205"/>
      <c r="H137" s="206"/>
      <c r="I137" s="207">
        <f>SUM(I132:I136)</f>
        <v>130.88</v>
      </c>
      <c r="K137" s="208"/>
    </row>
    <row r="139" spans="1:11" s="215" customFormat="1" ht="18.75" x14ac:dyDescent="0.3">
      <c r="B139" s="252"/>
      <c r="C139" s="253"/>
      <c r="D139" s="253"/>
      <c r="E139" s="253"/>
      <c r="F139" s="254" t="s">
        <v>37</v>
      </c>
      <c r="G139" s="270"/>
      <c r="H139" s="257"/>
      <c r="I139" s="260" t="s">
        <v>579</v>
      </c>
      <c r="K139" s="202"/>
    </row>
    <row r="140" spans="1:11" s="215" customFormat="1" ht="18.75" x14ac:dyDescent="0.3">
      <c r="B140" s="252"/>
      <c r="C140" s="253"/>
      <c r="D140" s="253"/>
      <c r="E140" s="253"/>
      <c r="F140" s="254"/>
      <c r="G140" s="270"/>
      <c r="H140" s="418"/>
      <c r="I140" s="260"/>
      <c r="K140" s="202"/>
    </row>
    <row r="141" spans="1:11" x14ac:dyDescent="0.25">
      <c r="H141" s="414" t="s">
        <v>699</v>
      </c>
    </row>
  </sheetData>
  <autoFilter ref="A4:I93" xr:uid="{00000000-0009-0000-0000-000007000000}"/>
  <mergeCells count="55">
    <mergeCell ref="A131:I131"/>
    <mergeCell ref="I132:I136"/>
    <mergeCell ref="A137:F137"/>
    <mergeCell ref="A126:F126"/>
    <mergeCell ref="A127:I127"/>
    <mergeCell ref="A130:F130"/>
    <mergeCell ref="A1:B1"/>
    <mergeCell ref="H1:I1"/>
    <mergeCell ref="H2:I2"/>
    <mergeCell ref="A3:C3"/>
    <mergeCell ref="D3:E3"/>
    <mergeCell ref="H3:I3"/>
    <mergeCell ref="A40:I40"/>
    <mergeCell ref="I4:I5"/>
    <mergeCell ref="A22:I22"/>
    <mergeCell ref="A29:F29"/>
    <mergeCell ref="A30:I30"/>
    <mergeCell ref="A38:F38"/>
    <mergeCell ref="A39:I39"/>
    <mergeCell ref="J4:J5"/>
    <mergeCell ref="A6:I6"/>
    <mergeCell ref="A12:F12"/>
    <mergeCell ref="A13:I13"/>
    <mergeCell ref="A21:F21"/>
    <mergeCell ref="A4:C4"/>
    <mergeCell ref="D4:D5"/>
    <mergeCell ref="E4:E5"/>
    <mergeCell ref="F4:F5"/>
    <mergeCell ref="G4:G5"/>
    <mergeCell ref="H4:H5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A85:I85"/>
    <mergeCell ref="A93:F93"/>
    <mergeCell ref="A94:I94"/>
    <mergeCell ref="I95:I99"/>
    <mergeCell ref="A109:I109"/>
    <mergeCell ref="A117:F117"/>
    <mergeCell ref="A118:I118"/>
    <mergeCell ref="I119:I125"/>
    <mergeCell ref="I110:I116"/>
    <mergeCell ref="A100:F100"/>
    <mergeCell ref="A101:I101"/>
    <mergeCell ref="I102:I107"/>
    <mergeCell ref="A108:F108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700-000000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F116</xm:sqref>
        </x14:dataValidation>
        <x14:dataValidation type="list" allowBlank="1" showInputMessage="1" showErrorMessage="1" xr:uid="{00000000-0002-0000-0700-000001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F27:F28 F68 F76:F77 F44 F60 F10 F19 F105:F106 F136 F36 F52 F91 F98:F99 F124</xm:sqref>
        </x14:dataValidation>
        <x14:dataValidation type="list" allowBlank="1" showInputMessage="1" showErrorMessage="1" xr:uid="{00000000-0002-0000-07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F44 F68 F91 F76:F77 F60 F136 F10 F19 F27:F28 F36 F52 F98:F99 F105:F106 F124</xm:sqref>
        </x14:dataValidation>
        <x14:dataValidation type="list" allowBlank="1" showInputMessage="1" showErrorMessage="1" xr:uid="{00000000-0002-0000-0700-000003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F80 F128</xm:sqref>
        </x14:dataValidation>
        <x14:dataValidation type="list" allowBlank="1" showInputMessage="1" showErrorMessage="1" xr:uid="{00000000-0002-0000-0700-000004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F135 F7 F18 F107 F35 F57 F67 F122:F123 F26 F113 F41 F51 F75 F90 F95:F97 F102:F104 F111</xm:sqref>
        </x14:dataValidation>
        <x14:dataValidation type="list" allowBlank="1" showInputMessage="1" showErrorMessage="1" xr:uid="{00000000-0002-0000-0700-000006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F20 F125 F53 F37 F92 F69 F115</xm:sqref>
        </x14:dataValidation>
        <x14:dataValidation type="list" allowBlank="1" showInputMessage="1" showErrorMessage="1" xr:uid="{00000000-0002-0000-0700-000007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F48 F110 F15 F87 F32 F83 F132 F64 F112 F119:F121</xm:sqref>
        </x14:dataValidation>
        <x14:dataValidation type="list" allowBlank="1" showInputMessage="1" showErrorMessage="1" xr:uid="{FC0C1A5C-469F-4CF7-8B4F-BD784A25F491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F114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6">
    <pageSetUpPr fitToPage="1"/>
  </sheetPr>
  <dimension ref="A1:L172"/>
  <sheetViews>
    <sheetView view="pageBreakPreview" topLeftCell="A93" zoomScaleNormal="100" zoomScaleSheetLayoutView="100" workbookViewId="0">
      <selection activeCell="F7" sqref="F7"/>
    </sheetView>
  </sheetViews>
  <sheetFormatPr defaultRowHeight="15.75" x14ac:dyDescent="0.25"/>
  <cols>
    <col min="1" max="1" width="11.28515625" style="215" customWidth="1"/>
    <col min="2" max="2" width="11.28515625" style="252" customWidth="1"/>
    <col min="3" max="3" width="10.5703125" style="253" customWidth="1"/>
    <col min="4" max="4" width="10.28515625" style="253" customWidth="1"/>
    <col min="5" max="5" width="14" style="253" customWidth="1"/>
    <col min="6" max="6" width="57.85546875" style="253" customWidth="1"/>
    <col min="7" max="7" width="17.85546875" style="253" hidden="1" customWidth="1"/>
    <col min="8" max="9" width="15.5703125" style="253" customWidth="1"/>
    <col min="10" max="10" width="25.5703125" style="215" customWidth="1"/>
    <col min="11" max="1025" width="8.7109375" style="202" customWidth="1"/>
    <col min="1026" max="16384" width="9.140625" style="202"/>
  </cols>
  <sheetData>
    <row r="1" spans="1:12" s="234" customFormat="1" ht="29.25" customHeight="1" x14ac:dyDescent="0.25">
      <c r="A1" s="468" t="s">
        <v>0</v>
      </c>
      <c r="B1" s="468"/>
      <c r="C1" s="235"/>
      <c r="D1" s="235"/>
      <c r="E1" s="235"/>
      <c r="F1" s="231" t="s">
        <v>1</v>
      </c>
      <c r="G1" s="231"/>
      <c r="H1" s="439" t="s">
        <v>0</v>
      </c>
      <c r="I1" s="439"/>
    </row>
    <row r="2" spans="1:12" s="234" customFormat="1" ht="29.25" customHeight="1" x14ac:dyDescent="0.25">
      <c r="A2" s="235" t="s">
        <v>2</v>
      </c>
      <c r="B2" s="235"/>
      <c r="C2" s="259"/>
      <c r="D2" s="259"/>
      <c r="E2" s="259"/>
      <c r="F2" s="231" t="s">
        <v>582</v>
      </c>
      <c r="G2" s="231"/>
      <c r="H2" s="469" t="s">
        <v>581</v>
      </c>
      <c r="I2" s="469"/>
      <c r="J2" s="235"/>
    </row>
    <row r="3" spans="1:12" s="234" customFormat="1" ht="29.25" customHeight="1" x14ac:dyDescent="0.25">
      <c r="A3" s="437" t="s">
        <v>522</v>
      </c>
      <c r="B3" s="437"/>
      <c r="C3" s="437"/>
      <c r="D3" s="438"/>
      <c r="E3" s="438"/>
      <c r="F3" s="231" t="s">
        <v>748</v>
      </c>
      <c r="G3" s="231"/>
      <c r="H3" s="470" t="s">
        <v>672</v>
      </c>
      <c r="I3" s="470"/>
    </row>
    <row r="4" spans="1:12" ht="15" customHeight="1" x14ac:dyDescent="0.25">
      <c r="A4" s="472" t="s">
        <v>4</v>
      </c>
      <c r="B4" s="472"/>
      <c r="C4" s="472"/>
      <c r="D4" s="471" t="s">
        <v>5</v>
      </c>
      <c r="E4" s="471" t="s">
        <v>6</v>
      </c>
      <c r="F4" s="471" t="s">
        <v>7</v>
      </c>
      <c r="G4" s="473" t="s">
        <v>8</v>
      </c>
      <c r="H4" s="471" t="s">
        <v>9</v>
      </c>
      <c r="I4" s="471" t="s">
        <v>10</v>
      </c>
      <c r="J4" s="471" t="s">
        <v>11</v>
      </c>
    </row>
    <row r="5" spans="1:12" x14ac:dyDescent="0.25">
      <c r="A5" s="232" t="s">
        <v>12</v>
      </c>
      <c r="B5" s="232" t="s">
        <v>13</v>
      </c>
      <c r="C5" s="232" t="s">
        <v>14</v>
      </c>
      <c r="D5" s="471"/>
      <c r="E5" s="471"/>
      <c r="F5" s="471"/>
      <c r="G5" s="473"/>
      <c r="H5" s="471"/>
      <c r="I5" s="471"/>
      <c r="J5" s="471"/>
    </row>
    <row r="6" spans="1:12" ht="18" hidden="1" customHeight="1" x14ac:dyDescent="0.3">
      <c r="A6" s="462" t="s">
        <v>15</v>
      </c>
      <c r="B6" s="462"/>
      <c r="C6" s="462"/>
      <c r="D6" s="462"/>
      <c r="E6" s="462"/>
      <c r="F6" s="462"/>
      <c r="G6" s="462"/>
      <c r="H6" s="462"/>
      <c r="I6" s="462"/>
      <c r="J6" s="212"/>
    </row>
    <row r="7" spans="1:12" ht="18" hidden="1" customHeight="1" x14ac:dyDescent="0.3">
      <c r="A7" s="209">
        <f>IFERROR(VLOOKUP(F7,[1]Реестр!A:K,3,0)*H7/G7,"")</f>
        <v>3.84</v>
      </c>
      <c r="B7" s="209">
        <f>IFERROR(VLOOKUP(F7,[1]Реестр!A:K,4,0)*H7/G7,"")</f>
        <v>10.1</v>
      </c>
      <c r="C7" s="209">
        <f>IFERROR(VLOOKUP(F7,[1]Реестр!A:K,5,0)*H7/G7,"")</f>
        <v>9.77</v>
      </c>
      <c r="D7" s="209">
        <f>IFERROR(VLOOKUP(F7,[1]Реестр!A:K,6,0)*H7/G7,"")</f>
        <v>145.38300000000001</v>
      </c>
      <c r="E7" s="210" t="str">
        <f>IFERROR(VLOOKUP(F7,[1]Реестр!A:K,11,0),"")</f>
        <v>1*57</v>
      </c>
      <c r="F7" s="395" t="s">
        <v>106</v>
      </c>
      <c r="G7" s="211" t="str">
        <f>IFERROR(VLOOKUP(F7,[1]Реестр!A:K,2,0),"")</f>
        <v>40</v>
      </c>
      <c r="H7" s="210">
        <v>40</v>
      </c>
      <c r="I7" s="207">
        <v>49.55</v>
      </c>
      <c r="J7" s="201" t="str">
        <f>IFERROR(VLOOKUP(O7,Реестр!#REF!,3,0)*Q7/P7,"")</f>
        <v/>
      </c>
    </row>
    <row r="8" spans="1:12" ht="18" hidden="1" customHeight="1" x14ac:dyDescent="0.3">
      <c r="A8" s="209">
        <v>9.75</v>
      </c>
      <c r="B8" s="209">
        <v>12.14</v>
      </c>
      <c r="C8" s="209">
        <v>36.06</v>
      </c>
      <c r="D8" s="209">
        <v>291.64</v>
      </c>
      <c r="E8" s="349" t="str">
        <f>"2/57"</f>
        <v>2/57</v>
      </c>
      <c r="F8" s="349" t="s">
        <v>665</v>
      </c>
      <c r="G8" s="211" t="str">
        <f>IFERROR(VLOOKUP(F8,[1]Реестр!A:K,2,0),"")</f>
        <v/>
      </c>
      <c r="H8" s="210">
        <v>210</v>
      </c>
      <c r="I8" s="207">
        <v>51.38</v>
      </c>
      <c r="J8" s="201" t="str">
        <f>IFERROR(VLOOKUP(O8,Реестр!#REF!,3,0)*Q8/P8,"")</f>
        <v/>
      </c>
    </row>
    <row r="9" spans="1:12" ht="18" hidden="1" customHeight="1" x14ac:dyDescent="0.3">
      <c r="A9" s="209">
        <f>IFERROR(VLOOKUP(F9,[1]Реестр!A:K,3,0)*H9/G9,"")</f>
        <v>0.15</v>
      </c>
      <c r="B9" s="209">
        <f>IFERROR(VLOOKUP(F9,[1]Реестр!A:K,4,0)*H9/G9,"")</f>
        <v>0.09</v>
      </c>
      <c r="C9" s="209">
        <f>IFERROR(VLOOKUP(F9,[1]Реестр!A:K,5,0)*H9/G9,"")</f>
        <v>8.58</v>
      </c>
      <c r="D9" s="209">
        <f>IFERROR(VLOOKUP(F9,[1]Реестр!A:K,6,0)*H9/G9,"")</f>
        <v>34.799999999999997</v>
      </c>
      <c r="E9" s="210" t="str">
        <f>IFERROR(VLOOKUP(F9,[1]Реестр!A:K,11,0),"")</f>
        <v>12*2</v>
      </c>
      <c r="F9" s="398" t="s">
        <v>371</v>
      </c>
      <c r="G9" s="211" t="str">
        <f>IFERROR(VLOOKUP(F9,[1]Реестр!A:K,2,0),"")</f>
        <v>100</v>
      </c>
      <c r="H9" s="210">
        <v>30</v>
      </c>
      <c r="I9" s="207">
        <v>24.59</v>
      </c>
      <c r="J9" s="201" t="str">
        <f>IFERROR(VLOOKUP(O9,Реестр!#REF!,3,0)*Q9/P9,"")</f>
        <v/>
      </c>
    </row>
    <row r="10" spans="1:12" ht="18" hidden="1" customHeight="1" x14ac:dyDescent="0.3">
      <c r="A10" s="209">
        <f>IFERROR(VLOOKUP(F10,[1]Реестр!A:K,3,0)*H10/G10,"")</f>
        <v>1.4</v>
      </c>
      <c r="B10" s="209">
        <f>IFERROR(VLOOKUP(F10,[1]Реестр!A:K,4,0)*H10/G10,"")</f>
        <v>1.1000000000000001</v>
      </c>
      <c r="C10" s="209">
        <f>IFERROR(VLOOKUP(F10,[1]Реестр!A:K,5,0)*H10/G10,"")</f>
        <v>16.600000000000001</v>
      </c>
      <c r="D10" s="209">
        <f>IFERROR(VLOOKUP(F10,[1]Реестр!A:K,6,0)*H10/G10,"")</f>
        <v>79</v>
      </c>
      <c r="E10" s="349" t="str">
        <f>"11/59"</f>
        <v>11/59</v>
      </c>
      <c r="F10" s="349" t="s">
        <v>357</v>
      </c>
      <c r="G10" s="211" t="str">
        <f>IFERROR(VLOOKUP(F10,[1]Реестр!A:K,2,0),"")</f>
        <v>200</v>
      </c>
      <c r="H10" s="206">
        <v>200</v>
      </c>
      <c r="I10" s="207">
        <v>22.2</v>
      </c>
      <c r="J10" s="201" t="str">
        <f>IFERROR(VLOOKUP(O10,Реестр!#REF!,3,0)*Q10/P10,"")</f>
        <v/>
      </c>
    </row>
    <row r="11" spans="1:12" ht="18.75" hidden="1" x14ac:dyDescent="0.3">
      <c r="A11" s="209">
        <f>IFERROR(VLOOKUP(F11,[1]Реестр!A:K,3,0)*H11/G11,"")</f>
        <v>1.32</v>
      </c>
      <c r="B11" s="209">
        <f>IFERROR(VLOOKUP(F11,[1]Реестр!A:K,4,0)*H11/G11,"")</f>
        <v>0.24</v>
      </c>
      <c r="C11" s="209">
        <f>IFERROR(VLOOKUP(F11,[1]Реестр!A:K,5,0)*H11/G11,"")</f>
        <v>6.68</v>
      </c>
      <c r="D11" s="209">
        <f>IFERROR(VLOOKUP(F11,[1]Реестр!A:K,6,0)*H11/G11,"")</f>
        <v>38.6</v>
      </c>
      <c r="E11" s="210" t="str">
        <f>IFERROR(VLOOKUP(F11,[1]Реестр!A:K,11,0),"")</f>
        <v>-</v>
      </c>
      <c r="F11" s="217" t="s">
        <v>65</v>
      </c>
      <c r="G11" s="211" t="str">
        <f>IFERROR(VLOOKUP(F11,[1]Реестр!A:K,2,0),"")</f>
        <v>100</v>
      </c>
      <c r="H11" s="206">
        <v>20</v>
      </c>
      <c r="I11" s="207">
        <v>1.8</v>
      </c>
      <c r="J11" s="206"/>
      <c r="K11" s="208"/>
    </row>
    <row r="12" spans="1:12" ht="18" hidden="1" customHeight="1" x14ac:dyDescent="0.3">
      <c r="A12" s="464" t="s">
        <v>16</v>
      </c>
      <c r="B12" s="464"/>
      <c r="C12" s="464"/>
      <c r="D12" s="464"/>
      <c r="E12" s="464"/>
      <c r="F12" s="464"/>
      <c r="G12" s="205"/>
      <c r="H12" s="206"/>
      <c r="I12" s="207">
        <f>SUM(I7:I11)</f>
        <v>149.52000000000001</v>
      </c>
      <c r="J12" s="206">
        <v>85.2</v>
      </c>
      <c r="K12" s="208">
        <f>I12-J12</f>
        <v>64.320000000000007</v>
      </c>
      <c r="L12" s="208"/>
    </row>
    <row r="13" spans="1:12" ht="18" hidden="1" customHeight="1" x14ac:dyDescent="0.3">
      <c r="A13" s="462" t="s">
        <v>17</v>
      </c>
      <c r="B13" s="462"/>
      <c r="C13" s="462"/>
      <c r="D13" s="462"/>
      <c r="E13" s="462"/>
      <c r="F13" s="462"/>
      <c r="G13" s="462"/>
      <c r="H13" s="462"/>
      <c r="I13" s="462"/>
      <c r="J13" s="212"/>
    </row>
    <row r="14" spans="1:12" ht="30" hidden="1" x14ac:dyDescent="0.3">
      <c r="A14" s="367">
        <v>1.03</v>
      </c>
      <c r="B14" s="396">
        <v>4.7699999999999996</v>
      </c>
      <c r="C14" s="396">
        <v>6.38</v>
      </c>
      <c r="D14" s="396">
        <v>68.989999999999995</v>
      </c>
      <c r="E14" s="357" t="str">
        <f>"7/80"</f>
        <v>7/80</v>
      </c>
      <c r="F14" s="228" t="s">
        <v>678</v>
      </c>
      <c r="G14" s="211" t="str">
        <f>IFERROR(VLOOKUP(F14,[2]Реестр!A:K,2,0),"")</f>
        <v/>
      </c>
      <c r="H14" s="210">
        <v>80</v>
      </c>
      <c r="I14" s="230">
        <v>41.6</v>
      </c>
      <c r="J14" s="201" t="str">
        <f>IFERROR(VLOOKUP(O14,Реестр!#REF!,3,0)*Q14/P14,"")</f>
        <v/>
      </c>
    </row>
    <row r="15" spans="1:12" ht="18" hidden="1" customHeight="1" x14ac:dyDescent="0.3">
      <c r="A15" s="263">
        <v>5.55</v>
      </c>
      <c r="B15" s="263">
        <v>7.8</v>
      </c>
      <c r="C15" s="263">
        <v>15.95</v>
      </c>
      <c r="D15" s="263">
        <v>199.78905478333331</v>
      </c>
      <c r="E15" s="350" t="str">
        <f>"6/70"</f>
        <v>6/70</v>
      </c>
      <c r="F15" s="350" t="s">
        <v>220</v>
      </c>
      <c r="G15" s="211" t="str">
        <f>IFERROR(VLOOKUP(F15,[2]Реестр!A:K,2,0),"")</f>
        <v>300</v>
      </c>
      <c r="H15" s="206">
        <v>250</v>
      </c>
      <c r="I15" s="207">
        <v>50</v>
      </c>
      <c r="J15" s="201" t="str">
        <f>IFERROR(VLOOKUP(O15,Реестр!#REF!,3,0)*Q15/P15,"")</f>
        <v/>
      </c>
    </row>
    <row r="16" spans="1:12" ht="18" hidden="1" customHeight="1" x14ac:dyDescent="0.3">
      <c r="A16" s="263">
        <v>16.579999999999998</v>
      </c>
      <c r="B16" s="263">
        <v>19.5</v>
      </c>
      <c r="C16" s="263">
        <v>68.38</v>
      </c>
      <c r="D16" s="263">
        <v>327.07</v>
      </c>
      <c r="E16" s="349" t="str">
        <f>"8/35"</f>
        <v>8/35</v>
      </c>
      <c r="F16" s="349" t="s">
        <v>549</v>
      </c>
      <c r="G16" s="211" t="str">
        <f>IFERROR(VLOOKUP(F16,[2]Реестр!A:K,2,0),"")</f>
        <v/>
      </c>
      <c r="H16" s="206">
        <v>200</v>
      </c>
      <c r="I16" s="206">
        <v>112.67</v>
      </c>
      <c r="J16" s="201" t="str">
        <f>IFERROR(VLOOKUP(O16,Реестр!#REF!,3,0)*Q16/P16,"")</f>
        <v/>
      </c>
    </row>
    <row r="17" spans="1:12" ht="18" hidden="1" customHeight="1" x14ac:dyDescent="0.3">
      <c r="A17" s="263">
        <v>0.14000000000000001</v>
      </c>
      <c r="B17" s="263">
        <v>0.1</v>
      </c>
      <c r="C17" s="263">
        <v>1.5</v>
      </c>
      <c r="D17" s="263">
        <v>83.962620000000015</v>
      </c>
      <c r="E17" s="349" t="str">
        <f>"11/1"</f>
        <v>11/1</v>
      </c>
      <c r="F17" s="349" t="s">
        <v>317</v>
      </c>
      <c r="G17" s="211">
        <f>IFERROR(VLOOKUP(F17,[2]Реестр!A:K,2,0),"")</f>
        <v>200</v>
      </c>
      <c r="H17" s="206">
        <v>200</v>
      </c>
      <c r="I17" s="207">
        <v>12.8</v>
      </c>
      <c r="J17" s="201"/>
    </row>
    <row r="18" spans="1:12" ht="18" hidden="1" customHeight="1" x14ac:dyDescent="0.3">
      <c r="A18" s="209">
        <v>2.64</v>
      </c>
      <c r="B18" s="209">
        <v>0.24</v>
      </c>
      <c r="C18" s="209">
        <v>18.72</v>
      </c>
      <c r="D18" s="209">
        <v>89.6</v>
      </c>
      <c r="E18" s="210" t="s">
        <v>471</v>
      </c>
      <c r="F18" s="217" t="s">
        <v>66</v>
      </c>
      <c r="G18" s="211" t="str">
        <f>IFERROR(VLOOKUP(F18,[2]Реестр!A:K,2,0),"")</f>
        <v>100</v>
      </c>
      <c r="H18" s="206">
        <v>40</v>
      </c>
      <c r="I18" s="207">
        <v>3.6</v>
      </c>
      <c r="J18" s="201" t="str">
        <f>IFERROR(VLOOKUP(O18,Реестр!#REF!,3,0)*Q18/P18,"")</f>
        <v/>
      </c>
    </row>
    <row r="19" spans="1:12" ht="18" hidden="1" customHeight="1" x14ac:dyDescent="0.3">
      <c r="A19" s="209">
        <v>2.64</v>
      </c>
      <c r="B19" s="209">
        <v>0.48</v>
      </c>
      <c r="C19" s="209">
        <v>13.36</v>
      </c>
      <c r="D19" s="209">
        <v>77.2</v>
      </c>
      <c r="E19" s="210" t="s">
        <v>471</v>
      </c>
      <c r="F19" s="217" t="s">
        <v>65</v>
      </c>
      <c r="G19" s="211" t="str">
        <f>IFERROR(VLOOKUP(F19,[2]Реестр!A:K,2,0),"")</f>
        <v>100</v>
      </c>
      <c r="H19" s="206">
        <v>40</v>
      </c>
      <c r="I19" s="207">
        <v>3.6</v>
      </c>
      <c r="J19" s="201" t="str">
        <f>IFERROR(VLOOKUP(O19,Реестр!#REF!,3,0)*Q19/P19,"")</f>
        <v/>
      </c>
    </row>
    <row r="20" spans="1:12" ht="18" hidden="1" customHeight="1" x14ac:dyDescent="0.3">
      <c r="A20" s="196"/>
      <c r="B20" s="196"/>
      <c r="C20" s="196"/>
      <c r="D20" s="196"/>
      <c r="E20" s="214"/>
      <c r="F20" s="204"/>
      <c r="G20" s="199"/>
      <c r="H20" s="200"/>
      <c r="I20" s="203"/>
      <c r="J20" s="201"/>
    </row>
    <row r="21" spans="1:12" ht="18.75" hidden="1" x14ac:dyDescent="0.3">
      <c r="A21" s="464" t="s">
        <v>16</v>
      </c>
      <c r="B21" s="464"/>
      <c r="C21" s="464"/>
      <c r="D21" s="464"/>
      <c r="E21" s="464"/>
      <c r="F21" s="464"/>
      <c r="G21" s="205"/>
      <c r="H21" s="206"/>
      <c r="I21" s="207">
        <f>SUM(I14:I20)</f>
        <v>224.26999999999998</v>
      </c>
      <c r="J21" s="206">
        <v>127.79</v>
      </c>
      <c r="K21" s="208">
        <f>J21-I21</f>
        <v>-96.479999999999976</v>
      </c>
    </row>
    <row r="22" spans="1:12" ht="18.75" x14ac:dyDescent="0.3">
      <c r="A22" s="462" t="s">
        <v>500</v>
      </c>
      <c r="B22" s="462"/>
      <c r="C22" s="462"/>
      <c r="D22" s="462"/>
      <c r="E22" s="462"/>
      <c r="F22" s="462"/>
      <c r="G22" s="462"/>
      <c r="H22" s="462"/>
      <c r="I22" s="462"/>
      <c r="J22" s="212"/>
    </row>
    <row r="23" spans="1:12" ht="18.75" x14ac:dyDescent="0.25">
      <c r="A23" s="263">
        <v>0.48</v>
      </c>
      <c r="B23" s="263">
        <v>2.37</v>
      </c>
      <c r="C23" s="263">
        <v>3.09</v>
      </c>
      <c r="D23" s="263">
        <v>36.64</v>
      </c>
      <c r="E23" s="384" t="str">
        <f>"7/26"</f>
        <v>7/26</v>
      </c>
      <c r="F23" s="385" t="s">
        <v>717</v>
      </c>
      <c r="G23" s="211" t="str">
        <f>IFERROR(VLOOKUP(F23,[1]Реестр!A:K,2,0),"")</f>
        <v/>
      </c>
      <c r="H23" s="210">
        <v>30</v>
      </c>
      <c r="I23" s="230">
        <v>19.260000000000002</v>
      </c>
      <c r="J23" s="212"/>
    </row>
    <row r="24" spans="1:12" ht="18.75" x14ac:dyDescent="0.3">
      <c r="A24" s="348">
        <v>19.440000000000001</v>
      </c>
      <c r="B24" s="348">
        <v>19.420000000000002</v>
      </c>
      <c r="C24" s="348">
        <v>57.63</v>
      </c>
      <c r="D24" s="348">
        <v>436.2</v>
      </c>
      <c r="E24" s="242" t="s">
        <v>712</v>
      </c>
      <c r="F24" s="242" t="s">
        <v>713</v>
      </c>
      <c r="G24" s="211" t="str">
        <f>IFERROR(VLOOKUP(F24,[2]Реестр!A:K,2,0),"")</f>
        <v/>
      </c>
      <c r="H24" s="206">
        <v>250</v>
      </c>
      <c r="I24" s="206">
        <v>130.94</v>
      </c>
      <c r="J24" s="201" t="str">
        <f>IFERROR(VLOOKUP(O24,Реестр!#REF!,3,0)*Q24/P24,"")</f>
        <v/>
      </c>
    </row>
    <row r="25" spans="1:12" ht="18.75" x14ac:dyDescent="0.3">
      <c r="A25" s="263">
        <v>0.18</v>
      </c>
      <c r="B25" s="263">
        <v>0.05</v>
      </c>
      <c r="C25" s="263">
        <v>0.32</v>
      </c>
      <c r="D25" s="263">
        <v>37.582527999999996</v>
      </c>
      <c r="E25" s="242" t="s">
        <v>714</v>
      </c>
      <c r="F25" s="386" t="s">
        <v>328</v>
      </c>
      <c r="G25" s="211">
        <f>IFERROR(VLOOKUP(F25,[2]Реестр!A:K,2,0),"")</f>
        <v>200</v>
      </c>
      <c r="H25" s="206">
        <v>200</v>
      </c>
      <c r="I25" s="207">
        <v>19.54</v>
      </c>
      <c r="J25" s="201"/>
    </row>
    <row r="26" spans="1:12" ht="18.75" x14ac:dyDescent="0.3">
      <c r="A26" s="264">
        <v>3.3</v>
      </c>
      <c r="B26" s="264">
        <v>0.3</v>
      </c>
      <c r="C26" s="264">
        <v>23.4</v>
      </c>
      <c r="D26" s="264">
        <v>112</v>
      </c>
      <c r="E26" s="242" t="str">
        <f>"-"</f>
        <v>-</v>
      </c>
      <c r="F26" s="387" t="s">
        <v>715</v>
      </c>
      <c r="G26" s="211" t="str">
        <f>IFERROR(VLOOKUP(F26,[2]Реестр!A:K,2,0),"")</f>
        <v/>
      </c>
      <c r="H26" s="206">
        <v>50</v>
      </c>
      <c r="I26" s="207">
        <v>4.5</v>
      </c>
      <c r="J26" s="201" t="str">
        <f>IFERROR(VLOOKUP(O26,Реестр!#REF!,3,0)*Q26/P26,"")</f>
        <v/>
      </c>
    </row>
    <row r="27" spans="1:12" ht="18.75" x14ac:dyDescent="0.3">
      <c r="A27" s="264">
        <v>2</v>
      </c>
      <c r="B27" s="264">
        <v>0.4</v>
      </c>
      <c r="C27" s="264">
        <v>10</v>
      </c>
      <c r="D27" s="264">
        <v>58</v>
      </c>
      <c r="E27" s="381" t="str">
        <f>"-"</f>
        <v>-</v>
      </c>
      <c r="F27" s="381" t="s">
        <v>707</v>
      </c>
      <c r="G27" s="211" t="str">
        <f>IFERROR(VLOOKUP(F27,[2]Реестр!A:K,2,0),"")</f>
        <v/>
      </c>
      <c r="H27" s="206">
        <v>30</v>
      </c>
      <c r="I27" s="203">
        <v>2.7</v>
      </c>
      <c r="J27" s="201"/>
    </row>
    <row r="28" spans="1:12" ht="18.75" x14ac:dyDescent="0.3">
      <c r="A28" s="196"/>
      <c r="B28" s="196"/>
      <c r="C28" s="196"/>
      <c r="D28" s="196"/>
      <c r="E28" s="197"/>
      <c r="F28" s="217"/>
      <c r="G28" s="199"/>
      <c r="H28" s="206"/>
      <c r="I28" s="203"/>
      <c r="J28" s="201" t="str">
        <f>IFERROR(VLOOKUP(O28,Реестр!#REF!,3,0)*Q28/P28,"")</f>
        <v/>
      </c>
    </row>
    <row r="29" spans="1:12" ht="18.75" x14ac:dyDescent="0.3">
      <c r="A29" s="453" t="s">
        <v>16</v>
      </c>
      <c r="B29" s="454"/>
      <c r="C29" s="454"/>
      <c r="D29" s="454"/>
      <c r="E29" s="454"/>
      <c r="F29" s="455"/>
      <c r="G29" s="205"/>
      <c r="H29" s="206"/>
      <c r="I29" s="207">
        <f>SUM(I23:I28)</f>
        <v>176.93999999999997</v>
      </c>
      <c r="J29" s="206">
        <v>98.52</v>
      </c>
      <c r="K29" s="208">
        <f>I29-J29</f>
        <v>78.419999999999973</v>
      </c>
      <c r="L29" s="208"/>
    </row>
    <row r="30" spans="1:12" ht="18.75" x14ac:dyDescent="0.3">
      <c r="A30" s="462" t="s">
        <v>501</v>
      </c>
      <c r="B30" s="462"/>
      <c r="C30" s="462"/>
      <c r="D30" s="462"/>
      <c r="E30" s="462"/>
      <c r="F30" s="462"/>
      <c r="G30" s="462"/>
      <c r="H30" s="462"/>
      <c r="I30" s="462"/>
      <c r="J30" s="201"/>
    </row>
    <row r="31" spans="1:12" ht="30" x14ac:dyDescent="0.3">
      <c r="A31" s="383">
        <v>2.2999999999999998</v>
      </c>
      <c r="B31" s="383">
        <v>6.01</v>
      </c>
      <c r="C31" s="383">
        <v>4.01</v>
      </c>
      <c r="D31" s="383">
        <v>72.147796</v>
      </c>
      <c r="E31" s="242" t="s">
        <v>709</v>
      </c>
      <c r="F31" s="242" t="s">
        <v>710</v>
      </c>
      <c r="G31" s="211" t="str">
        <f>IFERROR(VLOOKUP(F31,[2]Реестр!A:K,2,0),"")</f>
        <v/>
      </c>
      <c r="H31" s="210">
        <v>100</v>
      </c>
      <c r="I31" s="230">
        <v>56.17</v>
      </c>
      <c r="J31" s="201"/>
    </row>
    <row r="32" spans="1:12" ht="18.75" x14ac:dyDescent="0.3">
      <c r="A32" s="263">
        <v>4.1100000000000003</v>
      </c>
      <c r="B32" s="263">
        <v>4.7699999999999996</v>
      </c>
      <c r="C32" s="263">
        <v>26.5</v>
      </c>
      <c r="D32" s="263">
        <v>213.5</v>
      </c>
      <c r="E32" s="242" t="s">
        <v>711</v>
      </c>
      <c r="F32" s="242" t="s">
        <v>716</v>
      </c>
      <c r="G32" s="211" t="str">
        <f>IFERROR(VLOOKUP(F32,[2]Реестр!A:K,2,0),"")</f>
        <v/>
      </c>
      <c r="H32" s="206">
        <v>250</v>
      </c>
      <c r="I32" s="207">
        <v>50</v>
      </c>
      <c r="J32" s="206"/>
      <c r="K32" s="208">
        <f>I38-J32</f>
        <v>265.40000000000003</v>
      </c>
    </row>
    <row r="33" spans="1:12" ht="18.75" x14ac:dyDescent="0.3">
      <c r="A33" s="348">
        <v>17.5</v>
      </c>
      <c r="B33" s="348">
        <v>15.6</v>
      </c>
      <c r="C33" s="348">
        <v>42.3</v>
      </c>
      <c r="D33" s="348">
        <v>265.7</v>
      </c>
      <c r="E33" s="242" t="s">
        <v>712</v>
      </c>
      <c r="F33" s="242" t="s">
        <v>713</v>
      </c>
      <c r="G33" s="211" t="str">
        <f>IFERROR(VLOOKUP(F33,[2]Реестр!A:K,2,0),"")</f>
        <v/>
      </c>
      <c r="H33" s="206">
        <v>250</v>
      </c>
      <c r="I33" s="206">
        <v>130.94</v>
      </c>
      <c r="J33" s="212"/>
    </row>
    <row r="34" spans="1:12" ht="18.75" x14ac:dyDescent="0.3">
      <c r="A34" s="263">
        <v>3.94</v>
      </c>
      <c r="B34" s="263">
        <v>5.1100000000000003</v>
      </c>
      <c r="C34" s="263">
        <v>27.5</v>
      </c>
      <c r="D34" s="263">
        <v>170.19544859999999</v>
      </c>
      <c r="E34" s="242" t="s">
        <v>714</v>
      </c>
      <c r="F34" s="386" t="s">
        <v>328</v>
      </c>
      <c r="G34" s="211">
        <f>IFERROR(VLOOKUP(F34,[2]Реестр!A:K,2,0),"")</f>
        <v>200</v>
      </c>
      <c r="H34" s="206">
        <v>200</v>
      </c>
      <c r="I34" s="207">
        <v>19.54</v>
      </c>
      <c r="J34" s="212"/>
    </row>
    <row r="35" spans="1:12" ht="18.75" x14ac:dyDescent="0.3">
      <c r="A35" s="264">
        <v>0.14000000000000001</v>
      </c>
      <c r="B35" s="264">
        <v>0.1</v>
      </c>
      <c r="C35" s="264">
        <v>1.5</v>
      </c>
      <c r="D35" s="264">
        <v>83.962620000000015</v>
      </c>
      <c r="E35" s="242" t="s">
        <v>471</v>
      </c>
      <c r="F35" s="242" t="s">
        <v>715</v>
      </c>
      <c r="G35" s="211" t="str">
        <f>IFERROR(VLOOKUP(F35,[2]Реестр!A:K,2,0),"")</f>
        <v/>
      </c>
      <c r="H35" s="206">
        <v>50</v>
      </c>
      <c r="I35" s="207">
        <v>4.5</v>
      </c>
      <c r="J35" s="212"/>
    </row>
    <row r="36" spans="1:12" ht="18.75" x14ac:dyDescent="0.3">
      <c r="A36" s="264">
        <v>3.3</v>
      </c>
      <c r="B36" s="264">
        <v>0.3</v>
      </c>
      <c r="C36" s="264">
        <v>23.4</v>
      </c>
      <c r="D36" s="264">
        <v>112</v>
      </c>
      <c r="E36" s="381" t="s">
        <v>471</v>
      </c>
      <c r="F36" s="381" t="s">
        <v>707</v>
      </c>
      <c r="G36" s="211" t="str">
        <f>IFERROR(VLOOKUP(F36,[2]Реестр!A:K,2,0),"")</f>
        <v/>
      </c>
      <c r="H36" s="206">
        <v>50</v>
      </c>
      <c r="I36" s="203">
        <v>4.25</v>
      </c>
      <c r="J36" s="394"/>
    </row>
    <row r="37" spans="1:12" ht="18.75" x14ac:dyDescent="0.3">
      <c r="A37" s="209"/>
      <c r="B37" s="209"/>
      <c r="C37" s="209"/>
      <c r="D37" s="209"/>
      <c r="E37" s="218"/>
      <c r="F37" s="217"/>
      <c r="G37" s="211"/>
      <c r="H37" s="206"/>
      <c r="I37" s="207"/>
      <c r="J37" s="394"/>
    </row>
    <row r="38" spans="1:12" ht="18.75" x14ac:dyDescent="0.3">
      <c r="A38" s="453" t="s">
        <v>16</v>
      </c>
      <c r="B38" s="454"/>
      <c r="C38" s="454"/>
      <c r="D38" s="454"/>
      <c r="E38" s="454"/>
      <c r="F38" s="455"/>
      <c r="G38" s="205"/>
      <c r="H38" s="206"/>
      <c r="I38" s="207">
        <f>SUM(I31:I37)</f>
        <v>265.40000000000003</v>
      </c>
      <c r="J38" s="206">
        <v>147.79</v>
      </c>
      <c r="K38" s="208">
        <f>I38-J38</f>
        <v>117.61000000000004</v>
      </c>
    </row>
    <row r="39" spans="1:12" ht="18.75" hidden="1" x14ac:dyDescent="0.3">
      <c r="A39" s="462" t="s">
        <v>18</v>
      </c>
      <c r="B39" s="462"/>
      <c r="C39" s="462"/>
      <c r="D39" s="462"/>
      <c r="E39" s="462"/>
      <c r="F39" s="462"/>
      <c r="G39" s="462"/>
      <c r="H39" s="462"/>
      <c r="I39" s="462"/>
      <c r="J39" s="394"/>
    </row>
    <row r="40" spans="1:12" ht="18.75" hidden="1" x14ac:dyDescent="0.3">
      <c r="A40" s="462" t="s">
        <v>19</v>
      </c>
      <c r="B40" s="462"/>
      <c r="C40" s="462"/>
      <c r="D40" s="462"/>
      <c r="E40" s="462"/>
      <c r="F40" s="462"/>
      <c r="G40" s="462"/>
      <c r="H40" s="462"/>
      <c r="I40" s="462"/>
      <c r="J40" s="394"/>
    </row>
    <row r="41" spans="1:12" ht="18.75" hidden="1" customHeight="1" x14ac:dyDescent="0.3">
      <c r="A41" s="209">
        <f>IFERROR(VLOOKUP(F41,[1]Реестр!A:K,3,0)*H41/G41,"")</f>
        <v>3.84</v>
      </c>
      <c r="B41" s="209">
        <f>IFERROR(VLOOKUP(F41,[1]Реестр!A:K,4,0)*H41/G41,"")</f>
        <v>10.1</v>
      </c>
      <c r="C41" s="209">
        <f>IFERROR(VLOOKUP(F41,[1]Реестр!A:K,5,0)*H41/G41,"")</f>
        <v>9.77</v>
      </c>
      <c r="D41" s="209">
        <f>IFERROR(VLOOKUP(F41,[1]Реестр!A:K,6,0)*H41/G41,"")</f>
        <v>145.38300000000001</v>
      </c>
      <c r="E41" s="210" t="str">
        <f>IFERROR(VLOOKUP(F41,[1]Реестр!A:K,11,0),"")</f>
        <v>1*57</v>
      </c>
      <c r="F41" s="395" t="s">
        <v>106</v>
      </c>
      <c r="G41" s="211" t="str">
        <f>IFERROR(VLOOKUP(F41,[1]Реестр!A:K,2,0),"")</f>
        <v>40</v>
      </c>
      <c r="H41" s="210">
        <v>40</v>
      </c>
      <c r="I41" s="207">
        <v>49.55</v>
      </c>
      <c r="J41" s="394" t="s">
        <v>20</v>
      </c>
    </row>
    <row r="42" spans="1:12" ht="18.75" hidden="1" customHeight="1" x14ac:dyDescent="0.3">
      <c r="A42" s="209">
        <v>9.75</v>
      </c>
      <c r="B42" s="209">
        <v>12.14</v>
      </c>
      <c r="C42" s="209">
        <v>36.06</v>
      </c>
      <c r="D42" s="209">
        <v>291.64</v>
      </c>
      <c r="E42" s="349" t="str">
        <f>"2/57"</f>
        <v>2/57</v>
      </c>
      <c r="F42" s="349" t="s">
        <v>665</v>
      </c>
      <c r="G42" s="211" t="str">
        <f>IFERROR(VLOOKUP(F42,[1]Реестр!A:K,2,0),"")</f>
        <v/>
      </c>
      <c r="H42" s="210">
        <v>210</v>
      </c>
      <c r="I42" s="207">
        <v>51.38</v>
      </c>
      <c r="J42" s="394" t="s">
        <v>537</v>
      </c>
      <c r="K42" s="237"/>
      <c r="L42" s="237"/>
    </row>
    <row r="43" spans="1:12" ht="18.75" hidden="1" customHeight="1" x14ac:dyDescent="0.3">
      <c r="A43" s="209">
        <f>IFERROR(VLOOKUP(F43,[1]Реестр!A:K,3,0)*H43/G43,"")</f>
        <v>0.15</v>
      </c>
      <c r="B43" s="209">
        <f>IFERROR(VLOOKUP(F43,[1]Реестр!A:K,4,0)*H43/G43,"")</f>
        <v>0.09</v>
      </c>
      <c r="C43" s="209">
        <f>IFERROR(VLOOKUP(F43,[1]Реестр!A:K,5,0)*H43/G43,"")</f>
        <v>8.58</v>
      </c>
      <c r="D43" s="209">
        <f>IFERROR(VLOOKUP(F43,[1]Реестр!A:K,6,0)*H43/G43,"")</f>
        <v>34.799999999999997</v>
      </c>
      <c r="E43" s="210" t="str">
        <f>IFERROR(VLOOKUP(F43,[1]Реестр!A:K,11,0),"")</f>
        <v>12*2</v>
      </c>
      <c r="F43" s="398" t="s">
        <v>371</v>
      </c>
      <c r="G43" s="211" t="str">
        <f>IFERROR(VLOOKUP(F43,[1]Реестр!A:K,2,0),"")</f>
        <v>100</v>
      </c>
      <c r="H43" s="210">
        <v>30</v>
      </c>
      <c r="I43" s="207">
        <v>24.59</v>
      </c>
      <c r="J43" s="394" t="s">
        <v>477</v>
      </c>
      <c r="K43" s="237"/>
      <c r="L43" s="237"/>
    </row>
    <row r="44" spans="1:12" ht="18.75" hidden="1" customHeight="1" x14ac:dyDescent="0.3">
      <c r="A44" s="209">
        <f>IFERROR(VLOOKUP(F44,[1]Реестр!A:K,3,0)*H44/G44,"")</f>
        <v>1.4</v>
      </c>
      <c r="B44" s="209">
        <f>IFERROR(VLOOKUP(F44,[1]Реестр!A:K,4,0)*H44/G44,"")</f>
        <v>1.1000000000000001</v>
      </c>
      <c r="C44" s="209">
        <f>IFERROR(VLOOKUP(F44,[1]Реестр!A:K,5,0)*H44/G44,"")</f>
        <v>16.600000000000001</v>
      </c>
      <c r="D44" s="209">
        <f>IFERROR(VLOOKUP(F44,[1]Реестр!A:K,6,0)*H44/G44,"")</f>
        <v>79</v>
      </c>
      <c r="E44" s="349" t="str">
        <f>"11/59"</f>
        <v>11/59</v>
      </c>
      <c r="F44" s="349" t="s">
        <v>357</v>
      </c>
      <c r="G44" s="211" t="str">
        <f>IFERROR(VLOOKUP(F44,[1]Реестр!A:K,2,0),"")</f>
        <v>200</v>
      </c>
      <c r="H44" s="206">
        <v>200</v>
      </c>
      <c r="I44" s="207">
        <v>22.2</v>
      </c>
      <c r="J44" s="394" t="s">
        <v>479</v>
      </c>
      <c r="K44" s="237"/>
      <c r="L44" s="237"/>
    </row>
    <row r="45" spans="1:12" ht="18.75" hidden="1" customHeight="1" x14ac:dyDescent="0.3">
      <c r="A45" s="209">
        <f>IFERROR(VLOOKUP(F45,[1]Реестр!A:K,3,0)*H45/G45,"")</f>
        <v>1.32</v>
      </c>
      <c r="B45" s="209">
        <f>IFERROR(VLOOKUP(F45,[1]Реестр!A:K,4,0)*H45/G45,"")</f>
        <v>0.24</v>
      </c>
      <c r="C45" s="209">
        <f>IFERROR(VLOOKUP(F45,[1]Реестр!A:K,5,0)*H45/G45,"")</f>
        <v>6.68</v>
      </c>
      <c r="D45" s="209">
        <f>IFERROR(VLOOKUP(F45,[1]Реестр!A:K,6,0)*H45/G45,"")</f>
        <v>38.6</v>
      </c>
      <c r="E45" s="210" t="str">
        <f>IFERROR(VLOOKUP(F45,[1]Реестр!A:K,11,0),"")</f>
        <v>-</v>
      </c>
      <c r="F45" s="217" t="s">
        <v>65</v>
      </c>
      <c r="G45" s="211" t="str">
        <f>IFERROR(VLOOKUP(F45,[1]Реестр!A:K,2,0),"")</f>
        <v>100</v>
      </c>
      <c r="H45" s="206">
        <v>20</v>
      </c>
      <c r="I45" s="207">
        <v>1.8</v>
      </c>
      <c r="J45" s="394" t="s">
        <v>475</v>
      </c>
      <c r="K45" s="238"/>
      <c r="L45" s="237"/>
    </row>
    <row r="46" spans="1:12" ht="18.75" hidden="1" customHeight="1" x14ac:dyDescent="0.3">
      <c r="A46" s="465" t="s">
        <v>25</v>
      </c>
      <c r="B46" s="466"/>
      <c r="C46" s="466"/>
      <c r="D46" s="466"/>
      <c r="E46" s="466"/>
      <c r="F46" s="466"/>
      <c r="G46" s="466"/>
      <c r="H46" s="466"/>
      <c r="I46" s="467"/>
      <c r="J46" s="394"/>
    </row>
    <row r="47" spans="1:12" s="234" customFormat="1" ht="31.5" hidden="1" customHeight="1" x14ac:dyDescent="0.25">
      <c r="A47" s="367">
        <v>1.03</v>
      </c>
      <c r="B47" s="396">
        <v>4.7699999999999996</v>
      </c>
      <c r="C47" s="396">
        <v>6.38</v>
      </c>
      <c r="D47" s="396">
        <v>68.989999999999995</v>
      </c>
      <c r="E47" s="357" t="str">
        <f>"7/80"</f>
        <v>7/80</v>
      </c>
      <c r="F47" s="228" t="s">
        <v>678</v>
      </c>
      <c r="G47" s="211" t="str">
        <f>IFERROR(VLOOKUP(F47,[2]Реестр!A:K,2,0),"")</f>
        <v/>
      </c>
      <c r="H47" s="210">
        <v>80</v>
      </c>
      <c r="I47" s="230">
        <v>41.6</v>
      </c>
      <c r="J47" s="239" t="s">
        <v>538</v>
      </c>
    </row>
    <row r="48" spans="1:12" ht="18.75" hidden="1" customHeight="1" x14ac:dyDescent="0.3">
      <c r="A48" s="263">
        <v>5.55</v>
      </c>
      <c r="B48" s="263">
        <v>7.8</v>
      </c>
      <c r="C48" s="263">
        <v>15.95</v>
      </c>
      <c r="D48" s="263">
        <v>199.78905478333331</v>
      </c>
      <c r="E48" s="350" t="str">
        <f>"6/70"</f>
        <v>6/70</v>
      </c>
      <c r="F48" s="350" t="s">
        <v>220</v>
      </c>
      <c r="G48" s="211" t="str">
        <f>IFERROR(VLOOKUP(F48,[2]Реестр!A:K,2,0),"")</f>
        <v>300</v>
      </c>
      <c r="H48" s="206">
        <v>250</v>
      </c>
      <c r="I48" s="207">
        <v>50</v>
      </c>
      <c r="J48" s="394" t="s">
        <v>478</v>
      </c>
    </row>
    <row r="49" spans="1:11" ht="18.75" hidden="1" customHeight="1" x14ac:dyDescent="0.3">
      <c r="A49" s="263">
        <v>16.579999999999998</v>
      </c>
      <c r="B49" s="263">
        <v>19.5</v>
      </c>
      <c r="C49" s="263">
        <v>68.38</v>
      </c>
      <c r="D49" s="263">
        <v>327.07</v>
      </c>
      <c r="E49" s="349" t="str">
        <f>"8/35"</f>
        <v>8/35</v>
      </c>
      <c r="F49" s="349" t="s">
        <v>549</v>
      </c>
      <c r="G49" s="211" t="str">
        <f>IFERROR(VLOOKUP(F49,[2]Реестр!A:K,2,0),"")</f>
        <v/>
      </c>
      <c r="H49" s="206">
        <v>200</v>
      </c>
      <c r="I49" s="206">
        <v>112.67</v>
      </c>
      <c r="J49" s="394" t="s">
        <v>537</v>
      </c>
    </row>
    <row r="50" spans="1:11" ht="18.75" hidden="1" customHeight="1" x14ac:dyDescent="0.3">
      <c r="A50" s="263">
        <v>0.14000000000000001</v>
      </c>
      <c r="B50" s="263">
        <v>0.1</v>
      </c>
      <c r="C50" s="263">
        <v>1.5</v>
      </c>
      <c r="D50" s="263">
        <v>83.962620000000015</v>
      </c>
      <c r="E50" s="349" t="str">
        <f>"11/1"</f>
        <v>11/1</v>
      </c>
      <c r="F50" s="349" t="s">
        <v>317</v>
      </c>
      <c r="G50" s="211">
        <f>IFERROR(VLOOKUP(F50,[2]Реестр!A:K,2,0),"")</f>
        <v>200</v>
      </c>
      <c r="H50" s="206">
        <v>200</v>
      </c>
      <c r="I50" s="207">
        <v>12.8</v>
      </c>
      <c r="J50" s="394" t="s">
        <v>29</v>
      </c>
    </row>
    <row r="51" spans="1:11" ht="18.75" hidden="1" customHeight="1" x14ac:dyDescent="0.3">
      <c r="A51" s="209">
        <v>2.64</v>
      </c>
      <c r="B51" s="209">
        <v>0.24</v>
      </c>
      <c r="C51" s="209">
        <v>18.72</v>
      </c>
      <c r="D51" s="209">
        <v>89.6</v>
      </c>
      <c r="E51" s="210" t="s">
        <v>471</v>
      </c>
      <c r="F51" s="217" t="s">
        <v>66</v>
      </c>
      <c r="G51" s="211" t="str">
        <f>IFERROR(VLOOKUP(F51,[2]Реестр!A:K,2,0),"")</f>
        <v>100</v>
      </c>
      <c r="H51" s="206">
        <v>40</v>
      </c>
      <c r="I51" s="207">
        <v>3.6</v>
      </c>
      <c r="J51" s="394" t="s">
        <v>479</v>
      </c>
    </row>
    <row r="52" spans="1:11" ht="18.75" hidden="1" customHeight="1" x14ac:dyDescent="0.3">
      <c r="A52" s="209">
        <v>2.64</v>
      </c>
      <c r="B52" s="209">
        <v>0.48</v>
      </c>
      <c r="C52" s="209">
        <v>13.36</v>
      </c>
      <c r="D52" s="209">
        <v>77.2</v>
      </c>
      <c r="E52" s="210" t="s">
        <v>471</v>
      </c>
      <c r="F52" s="217" t="s">
        <v>65</v>
      </c>
      <c r="G52" s="211" t="str">
        <f>IFERROR(VLOOKUP(F52,[2]Реестр!A:K,2,0),"")</f>
        <v>100</v>
      </c>
      <c r="H52" s="206">
        <v>40</v>
      </c>
      <c r="I52" s="207">
        <v>3.6</v>
      </c>
      <c r="J52" s="394" t="s">
        <v>539</v>
      </c>
    </row>
    <row r="53" spans="1:11" ht="18.75" hidden="1" customHeight="1" x14ac:dyDescent="0.3">
      <c r="A53" s="196"/>
      <c r="B53" s="196"/>
      <c r="C53" s="196"/>
      <c r="D53" s="196"/>
      <c r="E53" s="214"/>
      <c r="F53" s="204"/>
      <c r="G53" s="199"/>
      <c r="H53" s="200"/>
      <c r="I53" s="203"/>
      <c r="J53" s="394" t="s">
        <v>540</v>
      </c>
    </row>
    <row r="54" spans="1:11" ht="18.75" hidden="1" x14ac:dyDescent="0.3">
      <c r="A54" s="464" t="s">
        <v>16</v>
      </c>
      <c r="B54" s="464"/>
      <c r="C54" s="464"/>
      <c r="D54" s="464"/>
      <c r="E54" s="464"/>
      <c r="F54" s="464"/>
      <c r="G54" s="206"/>
      <c r="H54" s="206"/>
      <c r="I54" s="207">
        <f>SUM(I41:I45,I47:I53)</f>
        <v>373.79000000000008</v>
      </c>
      <c r="J54" s="206">
        <v>212.99</v>
      </c>
      <c r="K54" s="208">
        <f>I54-J54</f>
        <v>160.80000000000007</v>
      </c>
    </row>
    <row r="55" spans="1:11" ht="18.75" x14ac:dyDescent="0.3">
      <c r="A55" s="465" t="s">
        <v>33</v>
      </c>
      <c r="B55" s="466"/>
      <c r="C55" s="466"/>
      <c r="D55" s="466"/>
      <c r="E55" s="466"/>
      <c r="F55" s="466"/>
      <c r="G55" s="466"/>
      <c r="H55" s="466"/>
      <c r="I55" s="467"/>
      <c r="J55" s="394"/>
    </row>
    <row r="56" spans="1:11" ht="18.75" x14ac:dyDescent="0.3">
      <c r="A56" s="465" t="s">
        <v>19</v>
      </c>
      <c r="B56" s="466"/>
      <c r="C56" s="466"/>
      <c r="D56" s="466"/>
      <c r="E56" s="466"/>
      <c r="F56" s="466"/>
      <c r="G56" s="466"/>
      <c r="H56" s="466"/>
      <c r="I56" s="467"/>
      <c r="J56" s="394"/>
    </row>
    <row r="57" spans="1:11" ht="18.75" x14ac:dyDescent="0.3">
      <c r="A57" s="243">
        <v>3.76</v>
      </c>
      <c r="B57" s="243">
        <v>3.05</v>
      </c>
      <c r="C57" s="243">
        <v>15.15</v>
      </c>
      <c r="D57" s="243">
        <v>112.3</v>
      </c>
      <c r="E57" s="242" t="str">
        <f>"1/50"</f>
        <v>1/50</v>
      </c>
      <c r="F57" s="242" t="s">
        <v>718</v>
      </c>
      <c r="G57" s="211" t="str">
        <f>IFERROR(VLOOKUP(F57,[1]Реестр!A:K,2,0),"")</f>
        <v/>
      </c>
      <c r="H57" s="210">
        <v>30</v>
      </c>
      <c r="I57" s="207">
        <v>38.369999999999997</v>
      </c>
      <c r="J57" s="394" t="s">
        <v>20</v>
      </c>
    </row>
    <row r="58" spans="1:11" ht="18.75" x14ac:dyDescent="0.3">
      <c r="A58" s="243">
        <v>16.39</v>
      </c>
      <c r="B58" s="243">
        <v>19.7</v>
      </c>
      <c r="C58" s="243">
        <v>41.3</v>
      </c>
      <c r="D58" s="243">
        <v>392.3</v>
      </c>
      <c r="E58" s="242" t="str">
        <f>"4/56"</f>
        <v>4/56</v>
      </c>
      <c r="F58" s="242" t="s">
        <v>705</v>
      </c>
      <c r="G58" s="211"/>
      <c r="H58" s="210">
        <v>200</v>
      </c>
      <c r="I58" s="207">
        <v>101.94</v>
      </c>
      <c r="J58" s="394" t="s">
        <v>537</v>
      </c>
    </row>
    <row r="59" spans="1:11" ht="18.75" x14ac:dyDescent="0.3">
      <c r="A59" s="243">
        <v>0.18</v>
      </c>
      <c r="B59" s="243">
        <v>0.04</v>
      </c>
      <c r="C59" s="243">
        <v>13.75</v>
      </c>
      <c r="D59" s="243">
        <v>53.136642799999997</v>
      </c>
      <c r="E59" s="242" t="str">
        <f>"11/56"</f>
        <v>11/56</v>
      </c>
      <c r="F59" s="242" t="s">
        <v>499</v>
      </c>
      <c r="G59" s="211"/>
      <c r="H59" s="210">
        <v>200</v>
      </c>
      <c r="I59" s="207">
        <v>8.15</v>
      </c>
      <c r="J59" s="394" t="s">
        <v>477</v>
      </c>
    </row>
    <row r="60" spans="1:11" ht="18.75" x14ac:dyDescent="0.3">
      <c r="A60" s="264">
        <v>2</v>
      </c>
      <c r="B60" s="264">
        <v>0.4</v>
      </c>
      <c r="C60" s="264">
        <v>10</v>
      </c>
      <c r="D60" s="264">
        <v>58</v>
      </c>
      <c r="E60" s="381" t="str">
        <f>"-"</f>
        <v>-</v>
      </c>
      <c r="F60" s="381" t="s">
        <v>707</v>
      </c>
      <c r="G60" s="211"/>
      <c r="H60" s="206">
        <v>30</v>
      </c>
      <c r="I60" s="207">
        <v>2.7</v>
      </c>
      <c r="J60" s="394" t="s">
        <v>541</v>
      </c>
      <c r="K60" s="237"/>
    </row>
    <row r="61" spans="1:11" ht="18.75" x14ac:dyDescent="0.3">
      <c r="A61" s="264">
        <v>0.52</v>
      </c>
      <c r="B61" s="264">
        <v>0.52</v>
      </c>
      <c r="C61" s="264">
        <v>15.08</v>
      </c>
      <c r="D61" s="264">
        <v>63.283999999999985</v>
      </c>
      <c r="E61" s="381" t="str">
        <f>"-"</f>
        <v>-</v>
      </c>
      <c r="F61" s="381" t="s">
        <v>708</v>
      </c>
      <c r="G61" s="211"/>
      <c r="H61" s="206">
        <v>130</v>
      </c>
      <c r="I61" s="207">
        <v>25.78</v>
      </c>
      <c r="J61" s="394" t="s">
        <v>475</v>
      </c>
      <c r="K61" s="237"/>
    </row>
    <row r="62" spans="1:11" ht="18.75" x14ac:dyDescent="0.3">
      <c r="A62" s="465" t="s">
        <v>25</v>
      </c>
      <c r="B62" s="466"/>
      <c r="C62" s="466"/>
      <c r="D62" s="466"/>
      <c r="E62" s="466"/>
      <c r="F62" s="466"/>
      <c r="G62" s="466"/>
      <c r="H62" s="466"/>
      <c r="I62" s="467"/>
      <c r="J62" s="201" t="str">
        <f>IFERROR(VLOOKUP(O62,Реестр!#REF!,3,0)*Q62/P62,"")</f>
        <v/>
      </c>
      <c r="K62" s="237"/>
    </row>
    <row r="63" spans="1:11" s="234" customFormat="1" ht="30" x14ac:dyDescent="0.25">
      <c r="A63" s="383">
        <v>2.2999999999999998</v>
      </c>
      <c r="B63" s="383">
        <v>6.01</v>
      </c>
      <c r="C63" s="383">
        <v>4.01</v>
      </c>
      <c r="D63" s="383">
        <v>72.147796</v>
      </c>
      <c r="E63" s="242" t="s">
        <v>709</v>
      </c>
      <c r="F63" s="242" t="s">
        <v>710</v>
      </c>
      <c r="G63" s="211" t="str">
        <f>IFERROR(VLOOKUP(F63,[2]Реестр!A:K,2,0),"")</f>
        <v/>
      </c>
      <c r="H63" s="210">
        <v>100</v>
      </c>
      <c r="I63" s="230">
        <v>56.17</v>
      </c>
      <c r="J63" s="239" t="s">
        <v>538</v>
      </c>
      <c r="K63" s="240"/>
    </row>
    <row r="64" spans="1:11" ht="18.75" x14ac:dyDescent="0.3">
      <c r="A64" s="263">
        <v>4.1100000000000003</v>
      </c>
      <c r="B64" s="263">
        <v>4.7699999999999996</v>
      </c>
      <c r="C64" s="263">
        <v>26.5</v>
      </c>
      <c r="D64" s="263">
        <v>213.5</v>
      </c>
      <c r="E64" s="242" t="s">
        <v>711</v>
      </c>
      <c r="F64" s="242" t="s">
        <v>716</v>
      </c>
      <c r="G64" s="211" t="str">
        <f>IFERROR(VLOOKUP(F64,[2]Реестр!A:K,2,0),"")</f>
        <v/>
      </c>
      <c r="H64" s="206">
        <v>250</v>
      </c>
      <c r="I64" s="207">
        <v>50</v>
      </c>
      <c r="J64" s="394" t="s">
        <v>478</v>
      </c>
      <c r="K64" s="237"/>
    </row>
    <row r="65" spans="1:12" ht="18.75" x14ac:dyDescent="0.3">
      <c r="A65" s="348">
        <v>17.5</v>
      </c>
      <c r="B65" s="348">
        <v>15.6</v>
      </c>
      <c r="C65" s="348">
        <v>42.3</v>
      </c>
      <c r="D65" s="348">
        <v>265.7</v>
      </c>
      <c r="E65" s="242" t="s">
        <v>712</v>
      </c>
      <c r="F65" s="242" t="s">
        <v>713</v>
      </c>
      <c r="G65" s="211" t="str">
        <f>IFERROR(VLOOKUP(F65,[2]Реестр!A:K,2,0),"")</f>
        <v/>
      </c>
      <c r="H65" s="206">
        <v>250</v>
      </c>
      <c r="I65" s="206">
        <v>130.94</v>
      </c>
      <c r="J65" s="394" t="s">
        <v>537</v>
      </c>
      <c r="K65" s="237"/>
    </row>
    <row r="66" spans="1:12" ht="18.75" x14ac:dyDescent="0.3">
      <c r="A66" s="263">
        <v>3.94</v>
      </c>
      <c r="B66" s="263">
        <v>5.1100000000000003</v>
      </c>
      <c r="C66" s="263">
        <v>27.5</v>
      </c>
      <c r="D66" s="263">
        <v>170.19544859999999</v>
      </c>
      <c r="E66" s="242" t="s">
        <v>714</v>
      </c>
      <c r="F66" s="386" t="s">
        <v>328</v>
      </c>
      <c r="G66" s="211">
        <f>IFERROR(VLOOKUP(F66,[2]Реестр!A:K,2,0),"")</f>
        <v>200</v>
      </c>
      <c r="H66" s="206">
        <v>200</v>
      </c>
      <c r="I66" s="207">
        <v>19.54</v>
      </c>
      <c r="J66" s="394" t="s">
        <v>29</v>
      </c>
      <c r="K66" s="237"/>
    </row>
    <row r="67" spans="1:12" ht="18.75" x14ac:dyDescent="0.3">
      <c r="A67" s="264">
        <v>0.14000000000000001</v>
      </c>
      <c r="B67" s="264">
        <v>0.1</v>
      </c>
      <c r="C67" s="264">
        <v>1.5</v>
      </c>
      <c r="D67" s="264">
        <v>83.962620000000015</v>
      </c>
      <c r="E67" s="242" t="s">
        <v>471</v>
      </c>
      <c r="F67" s="242" t="s">
        <v>715</v>
      </c>
      <c r="G67" s="211" t="str">
        <f>IFERROR(VLOOKUP(F67,[2]Реестр!A:K,2,0),"")</f>
        <v/>
      </c>
      <c r="H67" s="206">
        <v>50</v>
      </c>
      <c r="I67" s="207">
        <v>4.5</v>
      </c>
      <c r="J67" s="394" t="s">
        <v>479</v>
      </c>
      <c r="K67" s="208"/>
    </row>
    <row r="68" spans="1:12" ht="18.75" x14ac:dyDescent="0.3">
      <c r="A68" s="264">
        <v>3.3</v>
      </c>
      <c r="B68" s="264">
        <v>0.3</v>
      </c>
      <c r="C68" s="264">
        <v>23.4</v>
      </c>
      <c r="D68" s="264">
        <v>112</v>
      </c>
      <c r="E68" s="381" t="s">
        <v>471</v>
      </c>
      <c r="F68" s="381" t="s">
        <v>707</v>
      </c>
      <c r="G68" s="211" t="str">
        <f>IFERROR(VLOOKUP(F68,[2]Реестр!A:K,2,0),"")</f>
        <v/>
      </c>
      <c r="H68" s="206">
        <v>50</v>
      </c>
      <c r="I68" s="207">
        <v>4.25</v>
      </c>
      <c r="J68" s="394" t="s">
        <v>23</v>
      </c>
    </row>
    <row r="69" spans="1:12" ht="18.75" x14ac:dyDescent="0.3">
      <c r="A69" s="209"/>
      <c r="B69" s="209"/>
      <c r="C69" s="209"/>
      <c r="D69" s="209"/>
      <c r="E69" s="218"/>
      <c r="F69" s="217"/>
      <c r="G69" s="211"/>
      <c r="H69" s="206"/>
      <c r="I69" s="207"/>
      <c r="J69" s="394" t="s">
        <v>540</v>
      </c>
    </row>
    <row r="70" spans="1:12" ht="18" customHeight="1" x14ac:dyDescent="0.3">
      <c r="A70" s="464" t="s">
        <v>16</v>
      </c>
      <c r="B70" s="464"/>
      <c r="C70" s="464"/>
      <c r="D70" s="464"/>
      <c r="E70" s="464"/>
      <c r="F70" s="464"/>
      <c r="G70" s="206"/>
      <c r="H70" s="206"/>
      <c r="I70" s="207">
        <f>SUM(I57:I61)+SUM(I63:I69)</f>
        <v>442.34000000000003</v>
      </c>
      <c r="J70" s="201">
        <v>246.31</v>
      </c>
      <c r="K70" s="208">
        <f>J70-I70</f>
        <v>-196.03000000000003</v>
      </c>
    </row>
    <row r="71" spans="1:12" ht="18.75" x14ac:dyDescent="0.3">
      <c r="A71" s="465" t="s">
        <v>34</v>
      </c>
      <c r="B71" s="466"/>
      <c r="C71" s="466"/>
      <c r="D71" s="466"/>
      <c r="E71" s="466"/>
      <c r="F71" s="466"/>
      <c r="G71" s="466"/>
      <c r="H71" s="466"/>
      <c r="I71" s="467"/>
      <c r="J71" s="206"/>
      <c r="K71" s="208"/>
    </row>
    <row r="72" spans="1:12" ht="18.75" x14ac:dyDescent="0.25">
      <c r="A72" s="263">
        <v>0.48</v>
      </c>
      <c r="B72" s="263">
        <v>2.37</v>
      </c>
      <c r="C72" s="263">
        <v>3.09</v>
      </c>
      <c r="D72" s="263">
        <v>36.64</v>
      </c>
      <c r="E72" s="384" t="str">
        <f>"7/26"</f>
        <v>7/26</v>
      </c>
      <c r="F72" s="385" t="s">
        <v>717</v>
      </c>
      <c r="G72" s="211" t="str">
        <f>IFERROR(VLOOKUP(F72,[1]Реестр!A:K,2,0),"")</f>
        <v/>
      </c>
      <c r="H72" s="210">
        <v>30</v>
      </c>
      <c r="I72" s="230">
        <v>19.260000000000002</v>
      </c>
    </row>
    <row r="73" spans="1:12" ht="18.75" x14ac:dyDescent="0.3">
      <c r="A73" s="348">
        <v>19.440000000000001</v>
      </c>
      <c r="B73" s="348">
        <v>19.420000000000002</v>
      </c>
      <c r="C73" s="348">
        <v>57.63</v>
      </c>
      <c r="D73" s="348">
        <v>436.2</v>
      </c>
      <c r="E73" s="242" t="s">
        <v>712</v>
      </c>
      <c r="F73" s="242" t="s">
        <v>713</v>
      </c>
      <c r="G73" s="211" t="str">
        <f>IFERROR(VLOOKUP(F73,[2]Реестр!A:K,2,0),"")</f>
        <v/>
      </c>
      <c r="H73" s="206">
        <v>250</v>
      </c>
      <c r="I73" s="206">
        <v>130.94</v>
      </c>
    </row>
    <row r="74" spans="1:12" ht="18.75" x14ac:dyDescent="0.3">
      <c r="A74" s="263">
        <v>0.18</v>
      </c>
      <c r="B74" s="263">
        <v>0.05</v>
      </c>
      <c r="C74" s="263">
        <v>0.32</v>
      </c>
      <c r="D74" s="263">
        <v>37.582527999999996</v>
      </c>
      <c r="E74" s="242" t="s">
        <v>714</v>
      </c>
      <c r="F74" s="386" t="s">
        <v>328</v>
      </c>
      <c r="G74" s="211">
        <f>IFERROR(VLOOKUP(F74,[2]Реестр!A:K,2,0),"")</f>
        <v>200</v>
      </c>
      <c r="H74" s="206">
        <v>200</v>
      </c>
      <c r="I74" s="207">
        <v>19.54</v>
      </c>
    </row>
    <row r="75" spans="1:12" ht="18.75" x14ac:dyDescent="0.3">
      <c r="A75" s="264">
        <v>3.3</v>
      </c>
      <c r="B75" s="264">
        <v>0.3</v>
      </c>
      <c r="C75" s="264">
        <v>23.4</v>
      </c>
      <c r="D75" s="264">
        <v>112</v>
      </c>
      <c r="E75" s="242" t="str">
        <f>"-"</f>
        <v>-</v>
      </c>
      <c r="F75" s="387" t="s">
        <v>715</v>
      </c>
      <c r="G75" s="211" t="str">
        <f>IFERROR(VLOOKUP(F75,[2]Реестр!A:K,2,0),"")</f>
        <v/>
      </c>
      <c r="H75" s="206">
        <v>50</v>
      </c>
      <c r="I75" s="207">
        <v>4.5</v>
      </c>
    </row>
    <row r="76" spans="1:12" ht="18.75" x14ac:dyDescent="0.3">
      <c r="A76" s="264">
        <v>2</v>
      </c>
      <c r="B76" s="264">
        <v>0.4</v>
      </c>
      <c r="C76" s="264">
        <v>10</v>
      </c>
      <c r="D76" s="264">
        <v>58</v>
      </c>
      <c r="E76" s="381" t="str">
        <f>"-"</f>
        <v>-</v>
      </c>
      <c r="F76" s="381" t="s">
        <v>707</v>
      </c>
      <c r="G76" s="211" t="str">
        <f>IFERROR(VLOOKUP(F76,[2]Реестр!A:K,2,0),"")</f>
        <v/>
      </c>
      <c r="H76" s="206">
        <v>30</v>
      </c>
      <c r="I76" s="207">
        <v>2.7</v>
      </c>
    </row>
    <row r="77" spans="1:12" ht="18.75" hidden="1" x14ac:dyDescent="0.3">
      <c r="A77" s="196"/>
      <c r="B77" s="196"/>
      <c r="C77" s="196"/>
      <c r="D77" s="196"/>
      <c r="E77" s="197"/>
      <c r="F77" s="204"/>
      <c r="G77" s="199"/>
      <c r="H77" s="200"/>
      <c r="I77" s="203"/>
    </row>
    <row r="78" spans="1:12" ht="18.75" x14ac:dyDescent="0.3">
      <c r="A78" s="453" t="s">
        <v>16</v>
      </c>
      <c r="B78" s="454"/>
      <c r="C78" s="454"/>
      <c r="D78" s="454"/>
      <c r="E78" s="454"/>
      <c r="F78" s="455"/>
      <c r="G78" s="205"/>
      <c r="H78" s="206"/>
      <c r="I78" s="207">
        <f>SUM(I72:I77)</f>
        <v>176.93999999999997</v>
      </c>
      <c r="J78" s="215">
        <v>98.52</v>
      </c>
      <c r="L78" s="208">
        <f>J78-I78</f>
        <v>-78.419999999999973</v>
      </c>
    </row>
    <row r="79" spans="1:12" ht="18.75" x14ac:dyDescent="0.25">
      <c r="A79" s="477" t="s">
        <v>35</v>
      </c>
      <c r="B79" s="478"/>
      <c r="C79" s="478"/>
      <c r="D79" s="478"/>
      <c r="E79" s="478"/>
      <c r="F79" s="478"/>
      <c r="G79" s="478"/>
      <c r="H79" s="478"/>
      <c r="I79" s="479"/>
    </row>
    <row r="80" spans="1:12" ht="18.75" x14ac:dyDescent="0.3">
      <c r="A80" s="219">
        <v>7.7</v>
      </c>
      <c r="B80" s="219">
        <v>7.42</v>
      </c>
      <c r="C80" s="219">
        <v>32.090000000000003</v>
      </c>
      <c r="D80" s="219">
        <v>225.88</v>
      </c>
      <c r="E80" s="416" t="s">
        <v>408</v>
      </c>
      <c r="F80" s="406" t="s">
        <v>529</v>
      </c>
      <c r="G80" s="211">
        <f>IFERROR(VLOOKUP(F80,[2]Реестр!A:K,2,0),"")</f>
        <v>100</v>
      </c>
      <c r="H80" s="206">
        <v>80</v>
      </c>
      <c r="I80" s="207">
        <v>50</v>
      </c>
      <c r="K80" s="208"/>
    </row>
    <row r="81" spans="1:12" ht="18.75" x14ac:dyDescent="0.3">
      <c r="A81" s="453" t="s">
        <v>16</v>
      </c>
      <c r="B81" s="454"/>
      <c r="C81" s="454"/>
      <c r="D81" s="454"/>
      <c r="E81" s="454"/>
      <c r="F81" s="455"/>
      <c r="G81" s="205"/>
      <c r="H81" s="206"/>
      <c r="I81" s="207">
        <f>I80</f>
        <v>50</v>
      </c>
      <c r="J81" s="215">
        <v>29</v>
      </c>
    </row>
    <row r="82" spans="1:12" ht="18.75" x14ac:dyDescent="0.3">
      <c r="A82" s="465" t="s">
        <v>36</v>
      </c>
      <c r="B82" s="466"/>
      <c r="C82" s="466"/>
      <c r="D82" s="466"/>
      <c r="E82" s="466"/>
      <c r="F82" s="466"/>
      <c r="G82" s="466"/>
      <c r="H82" s="466"/>
      <c r="I82" s="467"/>
    </row>
    <row r="83" spans="1:12" ht="18.75" x14ac:dyDescent="0.3">
      <c r="A83" s="263">
        <v>4.1100000000000003</v>
      </c>
      <c r="B83" s="263">
        <v>4.7699999999999996</v>
      </c>
      <c r="C83" s="263">
        <v>26.5</v>
      </c>
      <c r="D83" s="263">
        <v>213.5</v>
      </c>
      <c r="E83" s="242" t="s">
        <v>711</v>
      </c>
      <c r="F83" s="242" t="s">
        <v>716</v>
      </c>
      <c r="G83" s="211" t="str">
        <f>IFERROR(VLOOKUP(F83,[2]Реестр!A:K,2,0),"")</f>
        <v/>
      </c>
      <c r="H83" s="206">
        <v>250</v>
      </c>
      <c r="I83" s="207">
        <v>50</v>
      </c>
    </row>
    <row r="84" spans="1:12" ht="18.75" x14ac:dyDescent="0.3">
      <c r="A84" s="453" t="s">
        <v>16</v>
      </c>
      <c r="B84" s="454"/>
      <c r="C84" s="454"/>
      <c r="D84" s="454"/>
      <c r="E84" s="454"/>
      <c r="F84" s="455"/>
      <c r="G84" s="205"/>
      <c r="H84" s="206"/>
      <c r="I84" s="207">
        <f>SUM(I83:I83)</f>
        <v>50</v>
      </c>
      <c r="J84" s="215">
        <v>27</v>
      </c>
    </row>
    <row r="85" spans="1:12" ht="18.75" x14ac:dyDescent="0.3">
      <c r="A85" s="465" t="s">
        <v>503</v>
      </c>
      <c r="B85" s="466"/>
      <c r="C85" s="466"/>
      <c r="D85" s="466"/>
      <c r="E85" s="466"/>
      <c r="F85" s="466"/>
      <c r="G85" s="466"/>
      <c r="H85" s="466"/>
      <c r="I85" s="467"/>
    </row>
    <row r="86" spans="1:12" s="234" customFormat="1" ht="27" customHeight="1" x14ac:dyDescent="0.25">
      <c r="A86" s="383">
        <v>2.2999999999999998</v>
      </c>
      <c r="B86" s="383">
        <v>6.01</v>
      </c>
      <c r="C86" s="383">
        <v>4.01</v>
      </c>
      <c r="D86" s="383">
        <v>72.147796</v>
      </c>
      <c r="E86" s="242" t="s">
        <v>709</v>
      </c>
      <c r="F86" s="242" t="s">
        <v>710</v>
      </c>
      <c r="G86" s="211" t="str">
        <f>IFERROR(VLOOKUP(F86,[2]Реестр!A:K,2,0),"")</f>
        <v/>
      </c>
      <c r="H86" s="210">
        <v>100</v>
      </c>
      <c r="I86" s="230">
        <v>56.17</v>
      </c>
      <c r="J86" s="268"/>
    </row>
    <row r="87" spans="1:12" ht="18.75" x14ac:dyDescent="0.3">
      <c r="A87" s="263">
        <v>4.1100000000000003</v>
      </c>
      <c r="B87" s="263">
        <v>4.7699999999999996</v>
      </c>
      <c r="C87" s="263">
        <v>26.5</v>
      </c>
      <c r="D87" s="263">
        <v>213.5</v>
      </c>
      <c r="E87" s="242" t="s">
        <v>711</v>
      </c>
      <c r="F87" s="242" t="s">
        <v>716</v>
      </c>
      <c r="G87" s="211" t="str">
        <f>IFERROR(VLOOKUP(F87,[2]Реестр!A:K,2,0),"")</f>
        <v/>
      </c>
      <c r="H87" s="206">
        <v>250</v>
      </c>
      <c r="I87" s="207">
        <v>50</v>
      </c>
    </row>
    <row r="88" spans="1:12" ht="18.75" x14ac:dyDescent="0.3">
      <c r="A88" s="348">
        <v>17.5</v>
      </c>
      <c r="B88" s="348">
        <v>15.6</v>
      </c>
      <c r="C88" s="348">
        <v>42.3</v>
      </c>
      <c r="D88" s="348">
        <v>265.7</v>
      </c>
      <c r="E88" s="242" t="s">
        <v>712</v>
      </c>
      <c r="F88" s="242" t="s">
        <v>713</v>
      </c>
      <c r="G88" s="211" t="str">
        <f>IFERROR(VLOOKUP(F88,[2]Реестр!A:K,2,0),"")</f>
        <v/>
      </c>
      <c r="H88" s="206">
        <v>250</v>
      </c>
      <c r="I88" s="206">
        <v>130.94</v>
      </c>
    </row>
    <row r="89" spans="1:12" ht="18.75" x14ac:dyDescent="0.3">
      <c r="A89" s="263">
        <v>3.94</v>
      </c>
      <c r="B89" s="263">
        <v>5.1100000000000003</v>
      </c>
      <c r="C89" s="263">
        <v>27.5</v>
      </c>
      <c r="D89" s="263">
        <v>170.19544859999999</v>
      </c>
      <c r="E89" s="242" t="s">
        <v>714</v>
      </c>
      <c r="F89" s="386" t="s">
        <v>328</v>
      </c>
      <c r="G89" s="211">
        <f>IFERROR(VLOOKUP(F89,[2]Реестр!A:K,2,0),"")</f>
        <v>200</v>
      </c>
      <c r="H89" s="206">
        <v>200</v>
      </c>
      <c r="I89" s="207">
        <v>19.54</v>
      </c>
    </row>
    <row r="90" spans="1:12" ht="18.75" x14ac:dyDescent="0.3">
      <c r="A90" s="264">
        <v>0.14000000000000001</v>
      </c>
      <c r="B90" s="264">
        <v>0.1</v>
      </c>
      <c r="C90" s="264">
        <v>1.5</v>
      </c>
      <c r="D90" s="264">
        <v>83.962620000000015</v>
      </c>
      <c r="E90" s="242" t="s">
        <v>471</v>
      </c>
      <c r="F90" s="242" t="s">
        <v>715</v>
      </c>
      <c r="G90" s="211" t="str">
        <f>IFERROR(VLOOKUP(F90,[2]Реестр!A:K,2,0),"")</f>
        <v/>
      </c>
      <c r="H90" s="206">
        <v>50</v>
      </c>
      <c r="I90" s="207">
        <v>4.5</v>
      </c>
    </row>
    <row r="91" spans="1:12" ht="18.75" x14ac:dyDescent="0.3">
      <c r="A91" s="264">
        <v>3.3</v>
      </c>
      <c r="B91" s="264">
        <v>0.3</v>
      </c>
      <c r="C91" s="264">
        <v>23.4</v>
      </c>
      <c r="D91" s="264">
        <v>112</v>
      </c>
      <c r="E91" s="381" t="s">
        <v>471</v>
      </c>
      <c r="F91" s="381" t="s">
        <v>707</v>
      </c>
      <c r="G91" s="211" t="str">
        <f>IFERROR(VLOOKUP(F91,[2]Реестр!A:K,2,0),"")</f>
        <v/>
      </c>
      <c r="H91" s="206">
        <v>50</v>
      </c>
      <c r="I91" s="207">
        <v>4.25</v>
      </c>
    </row>
    <row r="92" spans="1:12" ht="18.75" hidden="1" x14ac:dyDescent="0.3">
      <c r="A92" s="196"/>
      <c r="B92" s="196"/>
      <c r="C92" s="196"/>
      <c r="D92" s="196"/>
      <c r="E92" s="214"/>
      <c r="F92" s="204"/>
      <c r="G92" s="199"/>
      <c r="H92" s="200"/>
      <c r="I92" s="203"/>
      <c r="K92" s="208"/>
    </row>
    <row r="93" spans="1:12" ht="18.75" x14ac:dyDescent="0.3">
      <c r="A93" s="464" t="s">
        <v>16</v>
      </c>
      <c r="B93" s="464"/>
      <c r="C93" s="464"/>
      <c r="D93" s="464"/>
      <c r="E93" s="464"/>
      <c r="F93" s="464"/>
      <c r="G93" s="205"/>
      <c r="H93" s="206"/>
      <c r="I93" s="207">
        <f>SUM(I86:I92)</f>
        <v>265.40000000000003</v>
      </c>
      <c r="J93" s="215">
        <v>147.79</v>
      </c>
      <c r="L93" s="208">
        <f>J93-I93</f>
        <v>-117.61000000000004</v>
      </c>
    </row>
    <row r="94" spans="1:12" ht="18.75" hidden="1" x14ac:dyDescent="0.3">
      <c r="A94" s="462" t="s">
        <v>544</v>
      </c>
      <c r="B94" s="462"/>
      <c r="C94" s="462"/>
      <c r="D94" s="462"/>
      <c r="E94" s="462"/>
      <c r="F94" s="462"/>
      <c r="G94" s="462"/>
      <c r="H94" s="462"/>
      <c r="I94" s="462"/>
      <c r="K94" s="208"/>
    </row>
    <row r="95" spans="1:12" ht="18.75" hidden="1" customHeight="1" x14ac:dyDescent="0.25">
      <c r="A95" s="209">
        <f>IFERROR(VLOOKUP(F95,[1]Реестр!A:K,3,0)*H95/G95,"")</f>
        <v>5.08</v>
      </c>
      <c r="B95" s="209">
        <f>IFERROR(VLOOKUP(F95,[1]Реестр!A:K,4,0)*H95/G95,"")</f>
        <v>11.55</v>
      </c>
      <c r="C95" s="209">
        <f>IFERROR(VLOOKUP(F95,[1]Реестр!A:K,5,0)*H95/G95,"")</f>
        <v>9.9700000000000006</v>
      </c>
      <c r="D95" s="209">
        <f>IFERROR(VLOOKUP(F95,[1]Реестр!A:K,6,0)*H95/G95,"")</f>
        <v>164.15</v>
      </c>
      <c r="E95" s="210" t="str">
        <f>IFERROR(VLOOKUP(F95,[1]Реестр!A:K,11,0),"")</f>
        <v>1*51</v>
      </c>
      <c r="F95" s="398" t="s">
        <v>91</v>
      </c>
      <c r="G95" s="211" t="str">
        <f>IFERROR(VLOOKUP(F95,[1]Реестр!A:K,2,0),"")</f>
        <v>45</v>
      </c>
      <c r="H95" s="143">
        <v>45</v>
      </c>
      <c r="I95" s="450">
        <v>149.52000000000001</v>
      </c>
      <c r="K95" s="208"/>
    </row>
    <row r="96" spans="1:12" ht="33.75" hidden="1" customHeight="1" x14ac:dyDescent="0.25">
      <c r="A96" s="209">
        <f>IFERROR(VLOOKUP(F96,[1]Реестр!A:K,3,0)*H96/G96,"")</f>
        <v>6.3749999999999991</v>
      </c>
      <c r="B96" s="209">
        <f>IFERROR(VLOOKUP(F96,[1]Реестр!A:K,4,0)*H96/G96,"")</f>
        <v>5.7499999999999991</v>
      </c>
      <c r="C96" s="209">
        <f>IFERROR(VLOOKUP(F96,[1]Реестр!A:K,5,0)*H96/G96,"")</f>
        <v>0.375</v>
      </c>
      <c r="D96" s="209">
        <f>IFERROR(VLOOKUP(F96,[1]Реестр!A:K,6,0)*H96/G96,"")</f>
        <v>78.75</v>
      </c>
      <c r="E96" s="210" t="str">
        <f>IFERROR(VLOOKUP(F96,[1]Реестр!A:K,11,0),"")</f>
        <v>4*57</v>
      </c>
      <c r="F96" s="398" t="s">
        <v>162</v>
      </c>
      <c r="G96" s="211" t="str">
        <f>IFERROR(VLOOKUP(F96,[1]Реестр!A:K,2,0),"")</f>
        <v>40</v>
      </c>
      <c r="H96" s="143">
        <v>50</v>
      </c>
      <c r="I96" s="451"/>
      <c r="K96" s="208"/>
    </row>
    <row r="97" spans="1:12" ht="45" hidden="1" customHeight="1" x14ac:dyDescent="0.25">
      <c r="A97" s="243">
        <v>6.26</v>
      </c>
      <c r="B97" s="243">
        <v>5.9</v>
      </c>
      <c r="C97" s="243">
        <v>28.4</v>
      </c>
      <c r="D97" s="243">
        <v>194.19400152</v>
      </c>
      <c r="E97" s="228" t="str">
        <f>"2/68"</f>
        <v>2/68</v>
      </c>
      <c r="F97" s="228" t="s">
        <v>666</v>
      </c>
      <c r="G97" s="211" t="str">
        <f>IFERROR(VLOOKUP(F97,[1]Реестр!A:K,2,0),"")</f>
        <v/>
      </c>
      <c r="H97" s="143">
        <v>200</v>
      </c>
      <c r="I97" s="451"/>
      <c r="K97" s="208"/>
    </row>
    <row r="98" spans="1:12" ht="30" hidden="1" customHeight="1" x14ac:dyDescent="0.25">
      <c r="A98" s="243">
        <v>2.74</v>
      </c>
      <c r="B98" s="243">
        <v>2.2000000000000002</v>
      </c>
      <c r="C98" s="243">
        <v>4.8899999999999997</v>
      </c>
      <c r="D98" s="243">
        <v>49.717531084999983</v>
      </c>
      <c r="E98" s="228" t="str">
        <f>"11/59 (2004 № 692)"</f>
        <v>11/59 (2004 № 692)</v>
      </c>
      <c r="F98" s="228" t="s">
        <v>667</v>
      </c>
      <c r="G98" s="211">
        <f>IFERROR(VLOOKUP(F98,[1]Реестр!A:K,2,0),"")</f>
        <v>200</v>
      </c>
      <c r="H98" s="143" t="str">
        <f>"200"</f>
        <v>200</v>
      </c>
      <c r="I98" s="451"/>
      <c r="K98" s="208"/>
    </row>
    <row r="99" spans="1:12" ht="18.75" hidden="1" customHeight="1" x14ac:dyDescent="0.25">
      <c r="A99" s="209">
        <f>IFERROR(VLOOKUP(F99,[1]Реестр!A:K,3,0)*H99/G99,"")</f>
        <v>1.32</v>
      </c>
      <c r="B99" s="209">
        <f>IFERROR(VLOOKUP(F99,[1]Реестр!A:K,4,0)*H99/G99,"")</f>
        <v>0.24</v>
      </c>
      <c r="C99" s="209">
        <f>IFERROR(VLOOKUP(F99,[1]Реестр!A:K,5,0)*H99/G99,"")</f>
        <v>6.68</v>
      </c>
      <c r="D99" s="209">
        <f>IFERROR(VLOOKUP(F99,[1]Реестр!A:K,6,0)*H99/G99,"")</f>
        <v>38.6</v>
      </c>
      <c r="E99" s="210" t="str">
        <f>IFERROR(VLOOKUP(F99,[1]Реестр!A:K,11,0),"")</f>
        <v>-</v>
      </c>
      <c r="F99" s="217" t="s">
        <v>65</v>
      </c>
      <c r="G99" s="211" t="str">
        <f>IFERROR(VLOOKUP(F99,[1]Реестр!A:K,2,0),"")</f>
        <v>100</v>
      </c>
      <c r="H99" s="229" t="str">
        <f>"20"</f>
        <v>20</v>
      </c>
      <c r="I99" s="452"/>
      <c r="K99" s="208"/>
    </row>
    <row r="100" spans="1:12" ht="18.75" hidden="1" x14ac:dyDescent="0.3">
      <c r="A100" s="464" t="s">
        <v>16</v>
      </c>
      <c r="B100" s="464"/>
      <c r="C100" s="464"/>
      <c r="D100" s="464"/>
      <c r="E100" s="464"/>
      <c r="F100" s="464"/>
      <c r="G100" s="205"/>
      <c r="H100" s="206"/>
      <c r="I100" s="207">
        <f>SUM(I95:I99)</f>
        <v>149.52000000000001</v>
      </c>
      <c r="K100" s="208"/>
    </row>
    <row r="101" spans="1:12" ht="18.75" hidden="1" x14ac:dyDescent="0.3">
      <c r="A101" s="462" t="s">
        <v>545</v>
      </c>
      <c r="B101" s="462"/>
      <c r="C101" s="462"/>
      <c r="D101" s="462"/>
      <c r="E101" s="462"/>
      <c r="F101" s="462"/>
      <c r="G101" s="462"/>
      <c r="H101" s="462"/>
      <c r="I101" s="462"/>
      <c r="J101" s="215">
        <v>85.2</v>
      </c>
      <c r="K101" s="208"/>
      <c r="L101" s="208">
        <f>J101-I101</f>
        <v>85.2</v>
      </c>
    </row>
    <row r="102" spans="1:12" ht="18.75" hidden="1" customHeight="1" x14ac:dyDescent="0.25">
      <c r="A102" s="209">
        <f>IFERROR(VLOOKUP(F102,[1]Реестр!A:K,3,0)*H102/G102,"")</f>
        <v>6.3749999999999991</v>
      </c>
      <c r="B102" s="209">
        <f>IFERROR(VLOOKUP(F102,[1]Реестр!A:K,4,0)*H102/G102,"")</f>
        <v>5.7499999999999991</v>
      </c>
      <c r="C102" s="209">
        <f>IFERROR(VLOOKUP(F102,[1]Реестр!A:K,5,0)*H102/G102,"")</f>
        <v>0.375</v>
      </c>
      <c r="D102" s="209">
        <f>IFERROR(VLOOKUP(F102,[1]Реестр!A:K,6,0)*H102/G102,"")</f>
        <v>78.75</v>
      </c>
      <c r="E102" s="210" t="str">
        <f>IFERROR(VLOOKUP(F102,[1]Реестр!A:K,11,0),"")</f>
        <v>4*57</v>
      </c>
      <c r="F102" s="398" t="s">
        <v>162</v>
      </c>
      <c r="G102" s="211" t="str">
        <f>IFERROR(VLOOKUP(F102,[1]Реестр!A:K,2,0),"")</f>
        <v>40</v>
      </c>
      <c r="H102" s="143">
        <v>50</v>
      </c>
      <c r="I102" s="450">
        <v>149.52000000000001</v>
      </c>
      <c r="K102" s="208"/>
    </row>
    <row r="103" spans="1:12" ht="18.75" hidden="1" customHeight="1" x14ac:dyDescent="0.25">
      <c r="A103" s="243">
        <v>6.03</v>
      </c>
      <c r="B103" s="243">
        <v>12.83</v>
      </c>
      <c r="C103" s="243">
        <v>34.92</v>
      </c>
      <c r="D103" s="243">
        <v>275.69060599999995</v>
      </c>
      <c r="E103" s="228" t="str">
        <f>"2/78"</f>
        <v>2/78</v>
      </c>
      <c r="F103" s="228" t="s">
        <v>668</v>
      </c>
      <c r="G103" s="211" t="str">
        <f>IFERROR(VLOOKUP(F103,[1]Реестр!A:K,2,0),"")</f>
        <v/>
      </c>
      <c r="H103" s="143">
        <v>200</v>
      </c>
      <c r="I103" s="451"/>
      <c r="K103" s="208"/>
    </row>
    <row r="104" spans="1:12" ht="18.75" hidden="1" customHeight="1" x14ac:dyDescent="0.25">
      <c r="A104" s="209">
        <f>IFERROR(VLOOKUP(F104,[1]Реестр!A:K,3,0)*H104/G104,"")</f>
        <v>0.17499999999999999</v>
      </c>
      <c r="B104" s="209">
        <f>IFERROR(VLOOKUP(F104,[1]Реестр!A:K,4,0)*H104/G104,"")</f>
        <v>0.105</v>
      </c>
      <c r="C104" s="209">
        <f>IFERROR(VLOOKUP(F104,[1]Реестр!A:K,5,0)*H104/G104,"")</f>
        <v>10.01</v>
      </c>
      <c r="D104" s="209">
        <f>IFERROR(VLOOKUP(F104,[1]Реестр!A:K,6,0)*H104/G104,"")</f>
        <v>40.6</v>
      </c>
      <c r="E104" s="210" t="str">
        <f>IFERROR(VLOOKUP(F104,[1]Реестр!A:K,11,0),"")</f>
        <v>12*2</v>
      </c>
      <c r="F104" s="398" t="s">
        <v>371</v>
      </c>
      <c r="G104" s="211" t="str">
        <f>IFERROR(VLOOKUP(F104,[1]Реестр!A:K,2,0),"")</f>
        <v>100</v>
      </c>
      <c r="H104" s="143">
        <v>35</v>
      </c>
      <c r="I104" s="451"/>
      <c r="K104" s="208"/>
    </row>
    <row r="105" spans="1:12" ht="18.75" hidden="1" customHeight="1" x14ac:dyDescent="0.25">
      <c r="A105" s="243">
        <v>0.18</v>
      </c>
      <c r="B105" s="243">
        <v>0.04</v>
      </c>
      <c r="C105" s="243">
        <v>13.75</v>
      </c>
      <c r="D105" s="243">
        <v>53.136642799999997</v>
      </c>
      <c r="E105" s="210" t="s">
        <v>353</v>
      </c>
      <c r="F105" s="228" t="s">
        <v>563</v>
      </c>
      <c r="G105" s="211" t="str">
        <f>IFERROR(VLOOKUP(F105,[1]Реестр!A:K,2,0),"")</f>
        <v/>
      </c>
      <c r="H105" s="143" t="str">
        <f>"200"</f>
        <v>200</v>
      </c>
      <c r="I105" s="451"/>
      <c r="K105" s="208"/>
    </row>
    <row r="106" spans="1:12" ht="18.75" hidden="1" customHeight="1" x14ac:dyDescent="0.25">
      <c r="A106" s="209">
        <f>IFERROR(VLOOKUP(F106,[1]Реестр!A:K,3,0)*H106/G106,"")</f>
        <v>1.32</v>
      </c>
      <c r="B106" s="209">
        <f>IFERROR(VLOOKUP(F106,[1]Реестр!A:K,4,0)*H106/G106,"")</f>
        <v>0.24</v>
      </c>
      <c r="C106" s="209">
        <f>IFERROR(VLOOKUP(F106,[1]Реестр!A:K,5,0)*H106/G106,"")</f>
        <v>6.68</v>
      </c>
      <c r="D106" s="209">
        <f>IFERROR(VLOOKUP(F106,[1]Реестр!A:K,6,0)*H106/G106,"")</f>
        <v>38.6</v>
      </c>
      <c r="E106" s="210" t="str">
        <f>IFERROR(VLOOKUP(F106,[1]Реестр!A:K,11,0),"")</f>
        <v>-</v>
      </c>
      <c r="F106" s="217" t="s">
        <v>65</v>
      </c>
      <c r="G106" s="211" t="str">
        <f>IFERROR(VLOOKUP(F106,[1]Реестр!A:K,2,0),"")</f>
        <v>100</v>
      </c>
      <c r="H106" s="229" t="str">
        <f>"20"</f>
        <v>20</v>
      </c>
      <c r="I106" s="451"/>
      <c r="K106" s="208"/>
    </row>
    <row r="107" spans="1:12" ht="18.75" hidden="1" customHeight="1" x14ac:dyDescent="0.3">
      <c r="A107" s="209">
        <f>IFERROR(VLOOKUP(F107,[1]Реестр!A:K,3,0)*H107/G107,"")</f>
        <v>1.32</v>
      </c>
      <c r="B107" s="209">
        <f>IFERROR(VLOOKUP(F107,[1]Реестр!A:K,4,0)*H107/G107,"")</f>
        <v>0.12</v>
      </c>
      <c r="C107" s="209">
        <f>IFERROR(VLOOKUP(F107,[1]Реестр!A:K,5,0)*H107/G107,"")</f>
        <v>9.36</v>
      </c>
      <c r="D107" s="209">
        <f>IFERROR(VLOOKUP(F107,[1]Реестр!A:K,6,0)*H107/G107,"")</f>
        <v>44.8</v>
      </c>
      <c r="E107" s="210" t="str">
        <f>IFERROR(VLOOKUP(F107,[1]Реестр!A:K,11,0),"")</f>
        <v>-</v>
      </c>
      <c r="F107" s="217" t="s">
        <v>66</v>
      </c>
      <c r="G107" s="211" t="str">
        <f>IFERROR(VLOOKUP(F107,[1]Реестр!A:K,2,0),"")</f>
        <v>100</v>
      </c>
      <c r="H107" s="206">
        <v>20</v>
      </c>
      <c r="I107" s="452"/>
      <c r="K107" s="208"/>
    </row>
    <row r="108" spans="1:12" ht="18.75" hidden="1" x14ac:dyDescent="0.3">
      <c r="A108" s="464" t="s">
        <v>16</v>
      </c>
      <c r="B108" s="464"/>
      <c r="C108" s="464"/>
      <c r="D108" s="464"/>
      <c r="E108" s="464"/>
      <c r="F108" s="464"/>
      <c r="G108" s="205"/>
      <c r="H108" s="206"/>
      <c r="I108" s="207">
        <f>SUM(I102)</f>
        <v>149.52000000000001</v>
      </c>
      <c r="K108" s="208"/>
    </row>
    <row r="109" spans="1:12" ht="18.75" hidden="1" x14ac:dyDescent="0.3">
      <c r="A109" s="462" t="s">
        <v>566</v>
      </c>
      <c r="B109" s="462"/>
      <c r="C109" s="462"/>
      <c r="D109" s="462"/>
      <c r="E109" s="462"/>
      <c r="F109" s="462"/>
      <c r="G109" s="462"/>
      <c r="H109" s="462"/>
      <c r="I109" s="462"/>
      <c r="K109" s="208"/>
    </row>
    <row r="110" spans="1:12" ht="18.75" hidden="1" customHeight="1" x14ac:dyDescent="0.25">
      <c r="A110" s="367">
        <v>1.03</v>
      </c>
      <c r="B110" s="396">
        <v>4.7699999999999996</v>
      </c>
      <c r="C110" s="396">
        <v>6.38</v>
      </c>
      <c r="D110" s="396">
        <v>68.989999999999995</v>
      </c>
      <c r="E110" s="357" t="str">
        <f>"7/80"</f>
        <v>7/80</v>
      </c>
      <c r="F110" s="228" t="s">
        <v>678</v>
      </c>
      <c r="G110" s="211" t="str">
        <f>IFERROR(VLOOKUP(F110,[2]Реестр!A:K,2,0),"")</f>
        <v/>
      </c>
      <c r="H110" s="263" t="s">
        <v>81</v>
      </c>
      <c r="I110" s="450">
        <v>224.27</v>
      </c>
      <c r="K110" s="208"/>
    </row>
    <row r="111" spans="1:12" ht="30" hidden="1" customHeight="1" x14ac:dyDescent="0.25">
      <c r="A111" s="263">
        <v>12.44</v>
      </c>
      <c r="B111" s="263">
        <v>7.77</v>
      </c>
      <c r="C111" s="263">
        <v>25.16</v>
      </c>
      <c r="D111" s="263">
        <v>208</v>
      </c>
      <c r="E111" s="228" t="str">
        <f>"6/57 (2004 № 139)"</f>
        <v>6/57 (2004 № 139)</v>
      </c>
      <c r="F111" s="228" t="s">
        <v>603</v>
      </c>
      <c r="G111" s="211" t="str">
        <f>IFERROR(VLOOKUP(F111,[2]Реестр!A:K,2,0),"")</f>
        <v/>
      </c>
      <c r="H111" s="243" t="str">
        <f>"250"</f>
        <v>250</v>
      </c>
      <c r="I111" s="451"/>
      <c r="K111" s="208"/>
    </row>
    <row r="112" spans="1:12" ht="18.75" hidden="1" customHeight="1" x14ac:dyDescent="0.25">
      <c r="A112" s="263">
        <v>16.579999999999998</v>
      </c>
      <c r="B112" s="263">
        <v>19.5</v>
      </c>
      <c r="C112" s="263">
        <v>68.38</v>
      </c>
      <c r="D112" s="263">
        <v>327.07</v>
      </c>
      <c r="E112" s="349" t="str">
        <f>"8/35"</f>
        <v>8/35</v>
      </c>
      <c r="F112" s="349" t="s">
        <v>549</v>
      </c>
      <c r="G112" s="211"/>
      <c r="H112" s="266">
        <v>200</v>
      </c>
      <c r="I112" s="451"/>
      <c r="K112" s="208"/>
    </row>
    <row r="113" spans="1:11" ht="18.75" hidden="1" customHeight="1" x14ac:dyDescent="0.25">
      <c r="A113" s="263">
        <v>0.14000000000000001</v>
      </c>
      <c r="B113" s="263">
        <v>0.1</v>
      </c>
      <c r="C113" s="263">
        <v>11</v>
      </c>
      <c r="D113" s="263">
        <v>83.962620000000015</v>
      </c>
      <c r="E113" s="228" t="str">
        <f>"11/73"</f>
        <v>11/73</v>
      </c>
      <c r="F113" s="228" t="s">
        <v>669</v>
      </c>
      <c r="G113" s="211"/>
      <c r="H113" s="263" t="s">
        <v>118</v>
      </c>
      <c r="I113" s="451"/>
      <c r="K113" s="208"/>
    </row>
    <row r="114" spans="1:11" ht="18.75" hidden="1" customHeight="1" x14ac:dyDescent="0.25">
      <c r="A114" s="264">
        <v>2.64</v>
      </c>
      <c r="B114" s="264">
        <v>0.48</v>
      </c>
      <c r="C114" s="264">
        <v>16.68</v>
      </c>
      <c r="D114" s="264">
        <v>77.352000000000004</v>
      </c>
      <c r="E114" s="228" t="str">
        <f>"-"</f>
        <v>-</v>
      </c>
      <c r="F114" s="217" t="s">
        <v>66</v>
      </c>
      <c r="G114" s="211"/>
      <c r="H114" s="264" t="str">
        <f>"40"</f>
        <v>40</v>
      </c>
      <c r="I114" s="451"/>
      <c r="K114" s="208"/>
    </row>
    <row r="115" spans="1:11" ht="18.75" hidden="1" customHeight="1" x14ac:dyDescent="0.25">
      <c r="A115" s="264">
        <v>2.64</v>
      </c>
      <c r="B115" s="264">
        <v>0.48</v>
      </c>
      <c r="C115" s="264">
        <v>16.68</v>
      </c>
      <c r="D115" s="264">
        <v>77.352000000000004</v>
      </c>
      <c r="E115" s="265" t="str">
        <f>"-"</f>
        <v>-</v>
      </c>
      <c r="F115" s="217" t="s">
        <v>65</v>
      </c>
      <c r="G115" s="211" t="str">
        <f>IFERROR(VLOOKUP(F115,[2]Реестр!A:K,2,0),"")</f>
        <v>100</v>
      </c>
      <c r="H115" s="264" t="str">
        <f>"40"</f>
        <v>40</v>
      </c>
      <c r="I115" s="451"/>
      <c r="K115" s="208"/>
    </row>
    <row r="116" spans="1:11" ht="18.75" hidden="1" customHeight="1" x14ac:dyDescent="0.25">
      <c r="A116" s="241"/>
      <c r="B116" s="241"/>
      <c r="C116" s="241"/>
      <c r="D116" s="241"/>
      <c r="E116" s="265"/>
      <c r="F116" s="217"/>
      <c r="G116" s="211"/>
      <c r="H116" s="269"/>
      <c r="I116" s="451"/>
      <c r="K116" s="208"/>
    </row>
    <row r="117" spans="1:11" ht="18.75" hidden="1" x14ac:dyDescent="0.3">
      <c r="A117" s="464" t="s">
        <v>16</v>
      </c>
      <c r="B117" s="464"/>
      <c r="C117" s="464"/>
      <c r="D117" s="464"/>
      <c r="E117" s="464"/>
      <c r="F117" s="464"/>
      <c r="G117" s="205"/>
      <c r="H117" s="206"/>
      <c r="I117" s="207">
        <f>SUM(I110:I116)</f>
        <v>224.27</v>
      </c>
      <c r="K117" s="208"/>
    </row>
    <row r="118" spans="1:11" ht="18.75" hidden="1" x14ac:dyDescent="0.3">
      <c r="A118" s="462" t="s">
        <v>550</v>
      </c>
      <c r="B118" s="462"/>
      <c r="C118" s="462"/>
      <c r="D118" s="462"/>
      <c r="E118" s="462"/>
      <c r="F118" s="462"/>
      <c r="G118" s="462"/>
      <c r="H118" s="462"/>
      <c r="I118" s="462"/>
      <c r="K118" s="208"/>
    </row>
    <row r="119" spans="1:11" ht="31.5" hidden="1" customHeight="1" x14ac:dyDescent="0.25">
      <c r="A119" s="367">
        <v>1.03</v>
      </c>
      <c r="B119" s="396">
        <v>4.7699999999999996</v>
      </c>
      <c r="C119" s="396">
        <v>6.38</v>
      </c>
      <c r="D119" s="396">
        <v>68.989999999999995</v>
      </c>
      <c r="E119" s="357" t="str">
        <f>"7/80"</f>
        <v>7/80</v>
      </c>
      <c r="F119" s="228" t="s">
        <v>678</v>
      </c>
      <c r="G119" s="211" t="str">
        <f>IFERROR(VLOOKUP(F119,[2]Реестр!A:K,2,0),"")</f>
        <v/>
      </c>
      <c r="H119" s="210">
        <v>80</v>
      </c>
      <c r="I119" s="450">
        <v>224.27</v>
      </c>
      <c r="K119" s="208"/>
    </row>
    <row r="120" spans="1:11" ht="18.75" hidden="1" customHeight="1" x14ac:dyDescent="0.3">
      <c r="A120" s="263">
        <v>5.55</v>
      </c>
      <c r="B120" s="263">
        <v>12.08</v>
      </c>
      <c r="C120" s="263">
        <v>17.95</v>
      </c>
      <c r="D120" s="263">
        <v>199.78905478333331</v>
      </c>
      <c r="E120" s="227" t="str">
        <f>"6/70-1"</f>
        <v>6/70-1</v>
      </c>
      <c r="F120" s="228" t="s">
        <v>670</v>
      </c>
      <c r="G120" s="211" t="str">
        <f>IFERROR(VLOOKUP(F120,[2]Реестр!A:K,2,0),"")</f>
        <v>300</v>
      </c>
      <c r="H120" s="206">
        <v>250</v>
      </c>
      <c r="I120" s="451"/>
      <c r="K120" s="208"/>
    </row>
    <row r="121" spans="1:11" ht="18.75" hidden="1" customHeight="1" x14ac:dyDescent="0.3">
      <c r="A121" s="263">
        <v>16.579999999999998</v>
      </c>
      <c r="B121" s="263">
        <v>19.5</v>
      </c>
      <c r="C121" s="263">
        <v>68.38</v>
      </c>
      <c r="D121" s="263">
        <v>327.07</v>
      </c>
      <c r="E121" s="349" t="str">
        <f>"8/35"</f>
        <v>8/35</v>
      </c>
      <c r="F121" s="349" t="s">
        <v>549</v>
      </c>
      <c r="G121" s="211" t="str">
        <f>IFERROR(VLOOKUP(F121,[2]Реестр!A:K,2,0),"")</f>
        <v/>
      </c>
      <c r="H121" s="206">
        <v>200</v>
      </c>
      <c r="I121" s="451"/>
      <c r="K121" s="208"/>
    </row>
    <row r="122" spans="1:11" ht="18.75" hidden="1" customHeight="1" x14ac:dyDescent="0.3">
      <c r="A122" s="263">
        <v>0.14000000000000001</v>
      </c>
      <c r="B122" s="263">
        <v>0.1</v>
      </c>
      <c r="C122" s="263">
        <v>1.5</v>
      </c>
      <c r="D122" s="263">
        <v>83.962620000000015</v>
      </c>
      <c r="E122" s="349" t="str">
        <f>"11/1"</f>
        <v>11/1</v>
      </c>
      <c r="F122" s="349" t="s">
        <v>317</v>
      </c>
      <c r="G122" s="211">
        <f>IFERROR(VLOOKUP(F122,[2]Реестр!A:K,2,0),"")</f>
        <v>200</v>
      </c>
      <c r="H122" s="206">
        <v>200</v>
      </c>
      <c r="I122" s="451"/>
      <c r="K122" s="208"/>
    </row>
    <row r="123" spans="1:11" ht="18.75" hidden="1" customHeight="1" x14ac:dyDescent="0.3">
      <c r="A123" s="209">
        <v>2.64</v>
      </c>
      <c r="B123" s="209">
        <v>0.24</v>
      </c>
      <c r="C123" s="209">
        <v>18.72</v>
      </c>
      <c r="D123" s="209">
        <v>89.6</v>
      </c>
      <c r="E123" s="210" t="s">
        <v>471</v>
      </c>
      <c r="F123" s="217" t="s">
        <v>66</v>
      </c>
      <c r="G123" s="211" t="str">
        <f>IFERROR(VLOOKUP(F123,[2]Реестр!A:K,2,0),"")</f>
        <v>100</v>
      </c>
      <c r="H123" s="206">
        <v>40</v>
      </c>
      <c r="I123" s="451"/>
      <c r="K123" s="208"/>
    </row>
    <row r="124" spans="1:11" ht="18.75" hidden="1" customHeight="1" x14ac:dyDescent="0.3">
      <c r="A124" s="209">
        <v>2.64</v>
      </c>
      <c r="B124" s="209">
        <v>0.48</v>
      </c>
      <c r="C124" s="209">
        <v>13.36</v>
      </c>
      <c r="D124" s="209">
        <v>77.2</v>
      </c>
      <c r="E124" s="210" t="s">
        <v>471</v>
      </c>
      <c r="F124" s="217" t="s">
        <v>65</v>
      </c>
      <c r="G124" s="211" t="str">
        <f>IFERROR(VLOOKUP(F124,[2]Реестр!A:K,2,0),"")</f>
        <v>100</v>
      </c>
      <c r="H124" s="206">
        <v>40</v>
      </c>
      <c r="I124" s="451"/>
      <c r="K124" s="208"/>
    </row>
    <row r="125" spans="1:11" ht="18.75" hidden="1" customHeight="1" x14ac:dyDescent="0.25">
      <c r="A125" s="246"/>
      <c r="B125" s="246"/>
      <c r="C125" s="246"/>
      <c r="D125" s="246"/>
      <c r="E125" s="247"/>
      <c r="F125" s="204"/>
      <c r="G125" s="199"/>
      <c r="H125" s="246"/>
      <c r="I125" s="451"/>
      <c r="K125" s="208"/>
    </row>
    <row r="126" spans="1:11" ht="18.75" hidden="1" x14ac:dyDescent="0.3">
      <c r="A126" s="464" t="s">
        <v>16</v>
      </c>
      <c r="B126" s="464"/>
      <c r="C126" s="464"/>
      <c r="D126" s="464"/>
      <c r="E126" s="464"/>
      <c r="F126" s="464"/>
      <c r="G126" s="205"/>
      <c r="H126" s="206"/>
      <c r="I126" s="207">
        <f>SUM(I119)</f>
        <v>224.27</v>
      </c>
      <c r="K126" s="208"/>
    </row>
    <row r="127" spans="1:11" ht="18.75" x14ac:dyDescent="0.3">
      <c r="A127" s="462" t="s">
        <v>607</v>
      </c>
      <c r="B127" s="462"/>
      <c r="C127" s="462"/>
      <c r="D127" s="462"/>
      <c r="E127" s="462"/>
      <c r="F127" s="462"/>
      <c r="G127" s="462"/>
      <c r="H127" s="462"/>
      <c r="I127" s="462"/>
      <c r="K127" s="208"/>
    </row>
    <row r="128" spans="1:11" ht="18.75" x14ac:dyDescent="0.25">
      <c r="A128" s="262">
        <v>28.25</v>
      </c>
      <c r="B128" s="262">
        <v>12.25</v>
      </c>
      <c r="C128" s="262">
        <v>19.75</v>
      </c>
      <c r="D128" s="262">
        <v>305</v>
      </c>
      <c r="E128" s="405" t="s">
        <v>159</v>
      </c>
      <c r="F128" s="215" t="s">
        <v>744</v>
      </c>
      <c r="G128" s="211" t="str">
        <f>IFERROR(VLOOKUP(F128,[10]Реестр!A:K,2,0),"")</f>
        <v/>
      </c>
      <c r="H128" s="143">
        <v>100</v>
      </c>
      <c r="I128" s="450">
        <v>188</v>
      </c>
      <c r="K128" s="208"/>
    </row>
    <row r="129" spans="1:11" ht="18.75" x14ac:dyDescent="0.25">
      <c r="A129" s="262">
        <v>2.2000000000000002</v>
      </c>
      <c r="B129" s="262">
        <v>2.8</v>
      </c>
      <c r="C129" s="262">
        <v>14.1</v>
      </c>
      <c r="D129" s="262">
        <v>92</v>
      </c>
      <c r="E129" s="405" t="s">
        <v>191</v>
      </c>
      <c r="F129" s="403" t="s">
        <v>675</v>
      </c>
      <c r="G129" s="211"/>
      <c r="H129" s="143">
        <v>150</v>
      </c>
      <c r="I129" s="451"/>
      <c r="K129" s="208"/>
    </row>
    <row r="130" spans="1:11" ht="18.75" x14ac:dyDescent="0.3">
      <c r="A130" s="263">
        <v>3.94</v>
      </c>
      <c r="B130" s="263">
        <v>5.1100000000000003</v>
      </c>
      <c r="C130" s="263">
        <v>27.5</v>
      </c>
      <c r="D130" s="263">
        <v>170.19544859999999</v>
      </c>
      <c r="E130" s="242" t="s">
        <v>714</v>
      </c>
      <c r="F130" s="386" t="s">
        <v>328</v>
      </c>
      <c r="G130" s="199">
        <f>IFERROR(VLOOKUP(F130,[2]Реестр!A:K,2,0),"")</f>
        <v>200</v>
      </c>
      <c r="H130" s="200">
        <v>200</v>
      </c>
      <c r="I130" s="452"/>
      <c r="J130" s="215" t="s">
        <v>744</v>
      </c>
      <c r="K130" s="208"/>
    </row>
    <row r="131" spans="1:11" ht="18.75" x14ac:dyDescent="0.3">
      <c r="A131" s="453" t="s">
        <v>16</v>
      </c>
      <c r="B131" s="454"/>
      <c r="C131" s="454"/>
      <c r="D131" s="454"/>
      <c r="E131" s="454"/>
      <c r="F131" s="455"/>
      <c r="G131" s="205"/>
      <c r="H131" s="206"/>
      <c r="I131" s="207">
        <f>SUM(I128:I130)</f>
        <v>188</v>
      </c>
      <c r="K131" s="208"/>
    </row>
    <row r="132" spans="1:11" ht="18.75" x14ac:dyDescent="0.3">
      <c r="A132" s="465" t="s">
        <v>609</v>
      </c>
      <c r="B132" s="466"/>
      <c r="C132" s="466"/>
      <c r="D132" s="466"/>
      <c r="E132" s="466"/>
      <c r="F132" s="466"/>
      <c r="G132" s="466"/>
      <c r="H132" s="466"/>
      <c r="I132" s="467"/>
      <c r="K132" s="208"/>
    </row>
    <row r="133" spans="1:11" ht="18.75" x14ac:dyDescent="0.25">
      <c r="A133" s="419">
        <v>13.9</v>
      </c>
      <c r="B133" s="419">
        <v>12.5</v>
      </c>
      <c r="C133" s="419">
        <v>3.8</v>
      </c>
      <c r="D133" s="419">
        <v>184</v>
      </c>
      <c r="E133" s="420" t="s">
        <v>286</v>
      </c>
      <c r="F133" s="253" t="s">
        <v>745</v>
      </c>
      <c r="G133" s="211" t="str">
        <f>IFERROR(VLOOKUP(F133,[10]Реестр!A:K,2,0),"")</f>
        <v/>
      </c>
      <c r="H133" s="143">
        <v>100</v>
      </c>
      <c r="I133" s="450">
        <v>188</v>
      </c>
      <c r="J133" s="215" t="s">
        <v>746</v>
      </c>
      <c r="K133" s="208"/>
    </row>
    <row r="134" spans="1:11" ht="18.75" x14ac:dyDescent="0.25">
      <c r="A134" s="421">
        <v>2.2200000000000002</v>
      </c>
      <c r="B134" s="421">
        <v>4.38</v>
      </c>
      <c r="C134" s="421">
        <v>16.97</v>
      </c>
      <c r="D134" s="421">
        <v>121.1</v>
      </c>
      <c r="E134" s="420" t="s">
        <v>191</v>
      </c>
      <c r="F134" s="215" t="s">
        <v>746</v>
      </c>
      <c r="G134" s="211"/>
      <c r="H134" s="143">
        <v>150</v>
      </c>
      <c r="I134" s="451"/>
      <c r="K134" s="208"/>
    </row>
    <row r="135" spans="1:11" ht="18.75" x14ac:dyDescent="0.25">
      <c r="A135" s="263">
        <v>3.94</v>
      </c>
      <c r="B135" s="263">
        <v>5.1100000000000003</v>
      </c>
      <c r="C135" s="263">
        <v>27.5</v>
      </c>
      <c r="D135" s="263">
        <v>170.19544859999999</v>
      </c>
      <c r="E135" s="242" t="s">
        <v>714</v>
      </c>
      <c r="F135" s="386" t="s">
        <v>328</v>
      </c>
      <c r="G135" s="211">
        <f>IFERROR(VLOOKUP(F135,[10]Реестр!A:K,2,0),"")</f>
        <v>200</v>
      </c>
      <c r="H135" s="143">
        <v>200</v>
      </c>
      <c r="I135" s="452"/>
      <c r="K135" s="208"/>
    </row>
    <row r="136" spans="1:11" ht="18.75" x14ac:dyDescent="0.3">
      <c r="A136" s="453" t="s">
        <v>16</v>
      </c>
      <c r="B136" s="454"/>
      <c r="C136" s="454"/>
      <c r="D136" s="454"/>
      <c r="E136" s="454"/>
      <c r="F136" s="455"/>
      <c r="G136" s="205"/>
      <c r="H136" s="206"/>
      <c r="I136" s="207">
        <f>SUM(I133:I135)</f>
        <v>188</v>
      </c>
    </row>
    <row r="137" spans="1:11" ht="18.75" x14ac:dyDescent="0.3">
      <c r="A137" s="462" t="s">
        <v>600</v>
      </c>
      <c r="B137" s="462"/>
      <c r="C137" s="462"/>
      <c r="D137" s="462"/>
      <c r="E137" s="462"/>
      <c r="F137" s="462"/>
      <c r="G137" s="462"/>
      <c r="H137" s="462"/>
      <c r="I137" s="462"/>
    </row>
    <row r="138" spans="1:11" ht="18.75" x14ac:dyDescent="0.25">
      <c r="A138" s="243">
        <v>3.76</v>
      </c>
      <c r="B138" s="243">
        <v>3.05</v>
      </c>
      <c r="C138" s="243">
        <v>13.8</v>
      </c>
      <c r="D138" s="243">
        <v>93.762559999999993</v>
      </c>
      <c r="E138" s="242" t="s">
        <v>732</v>
      </c>
      <c r="F138" s="387" t="s">
        <v>706</v>
      </c>
      <c r="G138" s="211" t="str">
        <f>IFERROR(VLOOKUP(F138,[2]Реестр!A:K,2,0),"")</f>
        <v/>
      </c>
      <c r="H138" s="391">
        <v>30</v>
      </c>
      <c r="I138" s="450">
        <v>176.94</v>
      </c>
    </row>
    <row r="139" spans="1:11" ht="18.75" x14ac:dyDescent="0.25">
      <c r="A139" s="243">
        <v>13.79</v>
      </c>
      <c r="B139" s="243">
        <v>20.23</v>
      </c>
      <c r="C139" s="243">
        <v>3.57</v>
      </c>
      <c r="D139" s="243">
        <v>251.02964924999998</v>
      </c>
      <c r="E139" s="242" t="s">
        <v>733</v>
      </c>
      <c r="F139" s="387" t="s">
        <v>705</v>
      </c>
      <c r="G139" s="211" t="str">
        <f>IFERROR(VLOOKUP(F139,[2]Реестр!A:K,2,0),"")</f>
        <v/>
      </c>
      <c r="H139" s="391">
        <v>200</v>
      </c>
      <c r="I139" s="451"/>
    </row>
    <row r="140" spans="1:11" ht="18.75" x14ac:dyDescent="0.25">
      <c r="A140" s="243">
        <v>0.18</v>
      </c>
      <c r="B140" s="243">
        <v>0.04</v>
      </c>
      <c r="C140" s="243">
        <v>13.75</v>
      </c>
      <c r="D140" s="243">
        <v>53.136642799999997</v>
      </c>
      <c r="E140" s="242" t="s">
        <v>734</v>
      </c>
      <c r="F140" s="387" t="s">
        <v>632</v>
      </c>
      <c r="G140" s="211" t="str">
        <f>IFERROR(VLOOKUP(F140,[2]Реестр!A:K,2,0),"")</f>
        <v/>
      </c>
      <c r="H140" s="391">
        <v>200</v>
      </c>
      <c r="I140" s="451"/>
    </row>
    <row r="141" spans="1:11" ht="18.75" x14ac:dyDescent="0.25">
      <c r="A141" s="241">
        <v>1.32</v>
      </c>
      <c r="B141" s="241">
        <v>0.24</v>
      </c>
      <c r="C141" s="241">
        <v>8.34</v>
      </c>
      <c r="D141" s="241">
        <v>38.676000000000002</v>
      </c>
      <c r="E141" s="381" t="str">
        <f>"-"</f>
        <v>-</v>
      </c>
      <c r="F141" s="381" t="s">
        <v>707</v>
      </c>
      <c r="G141" s="211" t="str">
        <f>IFERROR(VLOOKUP(F141,[2]Реестр!A:K,2,0),"")</f>
        <v/>
      </c>
      <c r="H141" s="391">
        <v>30</v>
      </c>
      <c r="I141" s="451"/>
    </row>
    <row r="142" spans="1:11" ht="18.75" x14ac:dyDescent="0.25">
      <c r="A142" s="241">
        <v>1.32</v>
      </c>
      <c r="B142" s="241">
        <v>0.24</v>
      </c>
      <c r="C142" s="241">
        <v>0</v>
      </c>
      <c r="D142" s="241">
        <v>38.676000000000002</v>
      </c>
      <c r="E142" s="381" t="s">
        <v>471</v>
      </c>
      <c r="F142" s="381" t="s">
        <v>708</v>
      </c>
      <c r="G142" s="211" t="str">
        <f>IFERROR(VLOOKUP(F142,[2]Реестр!A:K,2,0),"")</f>
        <v/>
      </c>
      <c r="H142" s="392">
        <v>130</v>
      </c>
      <c r="I142" s="452"/>
    </row>
    <row r="143" spans="1:11" ht="18.75" x14ac:dyDescent="0.3">
      <c r="A143" s="464" t="s">
        <v>16</v>
      </c>
      <c r="B143" s="464"/>
      <c r="C143" s="464"/>
      <c r="D143" s="464"/>
      <c r="E143" s="464"/>
      <c r="F143" s="464"/>
      <c r="G143" s="205"/>
      <c r="H143" s="206"/>
      <c r="I143" s="207">
        <f>SUM(I138:I142)</f>
        <v>176.94</v>
      </c>
    </row>
    <row r="144" spans="1:11" ht="18.75" x14ac:dyDescent="0.3">
      <c r="A144" s="462" t="s">
        <v>623</v>
      </c>
      <c r="B144" s="462"/>
      <c r="C144" s="462"/>
      <c r="D144" s="462"/>
      <c r="E144" s="462"/>
      <c r="F144" s="462"/>
      <c r="G144" s="462"/>
      <c r="H144" s="462"/>
      <c r="I144" s="462"/>
    </row>
    <row r="145" spans="1:9" ht="30" x14ac:dyDescent="0.25">
      <c r="A145" s="417">
        <v>0.7</v>
      </c>
      <c r="B145" s="243">
        <v>4.8099999999999996</v>
      </c>
      <c r="C145" s="243">
        <v>1.6</v>
      </c>
      <c r="D145" s="243">
        <v>57.718236800000007</v>
      </c>
      <c r="E145" s="242" t="str">
        <f>"7/13/1"</f>
        <v>7/13/1</v>
      </c>
      <c r="F145" s="242" t="s">
        <v>736</v>
      </c>
      <c r="G145" s="211" t="str">
        <f>IFERROR(VLOOKUP(F145,[2]Реестр!A:K,2,0),"")</f>
        <v/>
      </c>
      <c r="H145" s="397">
        <v>100</v>
      </c>
      <c r="I145" s="450">
        <v>265.39999999999998</v>
      </c>
    </row>
    <row r="146" spans="1:9" ht="18.75" x14ac:dyDescent="0.25">
      <c r="A146" s="263">
        <v>4.1100000000000003</v>
      </c>
      <c r="B146" s="263">
        <v>4.7699999999999996</v>
      </c>
      <c r="C146" s="263">
        <v>39.56</v>
      </c>
      <c r="D146" s="263">
        <v>235.36</v>
      </c>
      <c r="E146" s="242" t="s">
        <v>711</v>
      </c>
      <c r="F146" s="242" t="s">
        <v>737</v>
      </c>
      <c r="G146" s="94" t="str">
        <f>IFERROR(VLOOKUP(F146,[2]Реестр!A:K,2,0),"")</f>
        <v/>
      </c>
      <c r="H146" s="401">
        <v>250</v>
      </c>
      <c r="I146" s="451"/>
    </row>
    <row r="147" spans="1:9" ht="18.75" x14ac:dyDescent="0.25">
      <c r="A147" s="263">
        <v>15.55</v>
      </c>
      <c r="B147" s="263">
        <v>15.9</v>
      </c>
      <c r="C147" s="263">
        <v>90.5</v>
      </c>
      <c r="D147" s="263">
        <v>408.6</v>
      </c>
      <c r="E147" s="242" t="s">
        <v>712</v>
      </c>
      <c r="F147" s="242" t="s">
        <v>713</v>
      </c>
      <c r="G147" s="94" t="str">
        <f>IFERROR(VLOOKUP(F147,[2]Реестр!A:K,2,0),"")</f>
        <v/>
      </c>
      <c r="H147" s="401">
        <v>250</v>
      </c>
      <c r="I147" s="451"/>
    </row>
    <row r="148" spans="1:9" ht="18.75" x14ac:dyDescent="0.25">
      <c r="A148" s="263">
        <v>0.18</v>
      </c>
      <c r="B148" s="263">
        <v>0.05</v>
      </c>
      <c r="C148" s="263">
        <v>9.6300000000000008</v>
      </c>
      <c r="D148" s="263">
        <v>37.582527999999996</v>
      </c>
      <c r="E148" s="242" t="s">
        <v>738</v>
      </c>
      <c r="F148" s="242" t="s">
        <v>739</v>
      </c>
      <c r="G148" s="94" t="str">
        <f>IFERROR(VLOOKUP(F148,[2]Реестр!A:K,2,0),"")</f>
        <v/>
      </c>
      <c r="H148" s="401">
        <v>200</v>
      </c>
      <c r="I148" s="451"/>
    </row>
    <row r="149" spans="1:9" ht="18.75" x14ac:dyDescent="0.25">
      <c r="A149" s="241">
        <v>3.3</v>
      </c>
      <c r="B149" s="241">
        <v>0.6</v>
      </c>
      <c r="C149" s="241">
        <v>20.85</v>
      </c>
      <c r="D149" s="241">
        <v>96.69</v>
      </c>
      <c r="E149" s="242" t="str">
        <f>"-"</f>
        <v>-</v>
      </c>
      <c r="F149" s="242" t="s">
        <v>715</v>
      </c>
      <c r="G149" s="94" t="str">
        <f>IFERROR(VLOOKUP(F149,[2]Реестр!A:K,2,0),"")</f>
        <v/>
      </c>
      <c r="H149" s="232">
        <v>50</v>
      </c>
      <c r="I149" s="451"/>
    </row>
    <row r="150" spans="1:9" ht="18.75" x14ac:dyDescent="0.25">
      <c r="A150" s="264">
        <v>2.64</v>
      </c>
      <c r="B150" s="264">
        <v>0.48</v>
      </c>
      <c r="C150" s="264">
        <v>16.68</v>
      </c>
      <c r="D150" s="264">
        <v>77.352000000000004</v>
      </c>
      <c r="E150" s="381" t="str">
        <f>"-"</f>
        <v>-</v>
      </c>
      <c r="F150" s="381" t="s">
        <v>707</v>
      </c>
      <c r="G150" s="94" t="str">
        <f>IFERROR(VLOOKUP(F150,[2]Реестр!A:K,2,0),"")</f>
        <v/>
      </c>
      <c r="H150" s="232">
        <v>50</v>
      </c>
      <c r="I150" s="451"/>
    </row>
    <row r="151" spans="1:9" ht="18.75" x14ac:dyDescent="0.3">
      <c r="A151" s="104"/>
      <c r="B151" s="104"/>
      <c r="C151" s="104"/>
      <c r="D151" s="104"/>
      <c r="E151" s="218"/>
      <c r="F151" s="122"/>
      <c r="G151" s="94"/>
      <c r="H151" s="97"/>
      <c r="I151" s="452"/>
    </row>
    <row r="152" spans="1:9" ht="18.75" x14ac:dyDescent="0.3">
      <c r="A152" s="464" t="s">
        <v>16</v>
      </c>
      <c r="B152" s="464"/>
      <c r="C152" s="464"/>
      <c r="D152" s="464"/>
      <c r="E152" s="464"/>
      <c r="F152" s="464"/>
      <c r="G152" s="205"/>
      <c r="H152" s="206"/>
      <c r="I152" s="207">
        <f>SUM(I145:I151)</f>
        <v>265.39999999999998</v>
      </c>
    </row>
    <row r="153" spans="1:9" ht="18.75" x14ac:dyDescent="0.3">
      <c r="A153" s="462" t="s">
        <v>601</v>
      </c>
      <c r="B153" s="462"/>
      <c r="C153" s="462"/>
      <c r="D153" s="462"/>
      <c r="E153" s="462"/>
      <c r="F153" s="462"/>
      <c r="G153" s="462"/>
      <c r="H153" s="462"/>
      <c r="I153" s="462"/>
    </row>
    <row r="154" spans="1:9" ht="30" x14ac:dyDescent="0.25">
      <c r="A154" s="243">
        <v>17.96</v>
      </c>
      <c r="B154" s="243">
        <v>19.649999999999999</v>
      </c>
      <c r="C154" s="243">
        <v>1.04</v>
      </c>
      <c r="D154" s="243">
        <v>252.59813800000001</v>
      </c>
      <c r="E154" s="242" t="s">
        <v>740</v>
      </c>
      <c r="F154" s="242" t="s">
        <v>741</v>
      </c>
      <c r="G154" s="211" t="str">
        <f>IFERROR(VLOOKUP(F154,[2]Реестр!A:K,2,0),"")</f>
        <v/>
      </c>
      <c r="H154" s="391">
        <v>200</v>
      </c>
      <c r="I154" s="450">
        <v>176.94</v>
      </c>
    </row>
    <row r="155" spans="1:9" ht="18.75" x14ac:dyDescent="0.25">
      <c r="A155" s="243">
        <v>0.18</v>
      </c>
      <c r="B155" s="243">
        <v>0.04</v>
      </c>
      <c r="C155" s="243">
        <v>13.75</v>
      </c>
      <c r="D155" s="243">
        <v>53.136642799999997</v>
      </c>
      <c r="E155" s="242" t="s">
        <v>742</v>
      </c>
      <c r="F155" s="242" t="s">
        <v>499</v>
      </c>
      <c r="G155" s="211" t="str">
        <f>IFERROR(VLOOKUP(F155,[2]Реестр!A:K,2,0),"")</f>
        <v>200</v>
      </c>
      <c r="H155" s="243" t="s">
        <v>118</v>
      </c>
      <c r="I155" s="451"/>
    </row>
    <row r="156" spans="1:9" ht="18.75" x14ac:dyDescent="0.25">
      <c r="A156" s="241">
        <v>0.52</v>
      </c>
      <c r="B156" s="241">
        <v>0.52</v>
      </c>
      <c r="C156" s="241">
        <v>15.08</v>
      </c>
      <c r="D156" s="241">
        <v>63.283999999999985</v>
      </c>
      <c r="E156" s="242" t="s">
        <v>471</v>
      </c>
      <c r="F156" s="242" t="s">
        <v>708</v>
      </c>
      <c r="G156" s="211" t="str">
        <f>IFERROR(VLOOKUP(F156,[2]Реестр!A:K,2,0),"")</f>
        <v/>
      </c>
      <c r="H156" s="264" t="s">
        <v>735</v>
      </c>
      <c r="I156" s="451"/>
    </row>
    <row r="157" spans="1:9" ht="18.75" x14ac:dyDescent="0.25">
      <c r="A157" s="241">
        <v>2.64</v>
      </c>
      <c r="B157" s="241">
        <v>0.48</v>
      </c>
      <c r="C157" s="241">
        <v>16.68</v>
      </c>
      <c r="D157" s="241">
        <v>77.352000000000004</v>
      </c>
      <c r="E157" s="242" t="s">
        <v>471</v>
      </c>
      <c r="F157" s="242" t="s">
        <v>715</v>
      </c>
      <c r="G157" s="211" t="str">
        <f>IFERROR(VLOOKUP(F157,[2]Реестр!A:K,2,0),"")</f>
        <v/>
      </c>
      <c r="H157" s="392">
        <v>40</v>
      </c>
      <c r="I157" s="451"/>
    </row>
    <row r="158" spans="1:9" ht="18.75" x14ac:dyDescent="0.25">
      <c r="A158" s="241">
        <v>1.32</v>
      </c>
      <c r="B158" s="241">
        <v>0.24</v>
      </c>
      <c r="C158" s="241">
        <v>8.34</v>
      </c>
      <c r="D158" s="241">
        <v>38.676000000000002</v>
      </c>
      <c r="E158" s="381" t="str">
        <f>"-"</f>
        <v>-</v>
      </c>
      <c r="F158" s="381" t="s">
        <v>707</v>
      </c>
      <c r="G158" s="211" t="str">
        <f>IFERROR(VLOOKUP(F158,[2]Реестр!A:K,2,0),"")</f>
        <v/>
      </c>
      <c r="H158" s="264" t="str">
        <f>"20"</f>
        <v>20</v>
      </c>
      <c r="I158" s="451"/>
    </row>
    <row r="159" spans="1:9" ht="18.75" x14ac:dyDescent="0.3">
      <c r="A159" s="209"/>
      <c r="B159" s="209"/>
      <c r="C159" s="209"/>
      <c r="D159" s="209"/>
      <c r="E159" s="210"/>
      <c r="F159" s="217"/>
      <c r="G159" s="211"/>
      <c r="H159" s="206"/>
      <c r="I159" s="452"/>
    </row>
    <row r="160" spans="1:9" ht="18.75" x14ac:dyDescent="0.3">
      <c r="A160" s="464" t="s">
        <v>16</v>
      </c>
      <c r="B160" s="464"/>
      <c r="C160" s="464"/>
      <c r="D160" s="464"/>
      <c r="E160" s="464"/>
      <c r="F160" s="464"/>
      <c r="G160" s="205"/>
      <c r="H160" s="206"/>
      <c r="I160" s="207">
        <f>SUM(I154:I159)</f>
        <v>176.94</v>
      </c>
    </row>
    <row r="161" spans="1:11" ht="18.75" x14ac:dyDescent="0.3">
      <c r="A161" s="462" t="s">
        <v>684</v>
      </c>
      <c r="B161" s="462"/>
      <c r="C161" s="462"/>
      <c r="D161" s="462"/>
      <c r="E161" s="462"/>
      <c r="F161" s="462"/>
      <c r="G161" s="462"/>
      <c r="H161" s="462"/>
      <c r="I161" s="462"/>
    </row>
    <row r="162" spans="1:11" ht="30" x14ac:dyDescent="0.25">
      <c r="A162" s="417">
        <v>1.33</v>
      </c>
      <c r="B162" s="243">
        <v>5.12</v>
      </c>
      <c r="C162" s="243">
        <v>7.75</v>
      </c>
      <c r="D162" s="243">
        <v>73.52</v>
      </c>
      <c r="E162" s="242" t="s">
        <v>709</v>
      </c>
      <c r="F162" s="242" t="s">
        <v>710</v>
      </c>
      <c r="G162" s="211" t="str">
        <f>IFERROR(VLOOKUP(F162,[2]Реестр!A:K,2,0),"")</f>
        <v/>
      </c>
      <c r="H162" s="210">
        <v>100</v>
      </c>
      <c r="I162" s="450">
        <v>265.39999999999998</v>
      </c>
    </row>
    <row r="163" spans="1:11" ht="18.75" x14ac:dyDescent="0.3">
      <c r="A163" s="263">
        <v>4.1100000000000003</v>
      </c>
      <c r="B163" s="263">
        <v>4.7699999999999996</v>
      </c>
      <c r="C163" s="263">
        <v>59.23</v>
      </c>
      <c r="D163" s="263">
        <v>143.13</v>
      </c>
      <c r="E163" s="242" t="str">
        <f>"6/65-1"</f>
        <v>6/65-1</v>
      </c>
      <c r="F163" s="242" t="s">
        <v>731</v>
      </c>
      <c r="G163" s="94" t="str">
        <f>IFERROR(VLOOKUP(F163,[2]Реестр!A:K,2,0),"")</f>
        <v/>
      </c>
      <c r="H163" s="97">
        <v>250</v>
      </c>
      <c r="I163" s="451"/>
    </row>
    <row r="164" spans="1:11" ht="18.75" x14ac:dyDescent="0.3">
      <c r="A164" s="263">
        <v>15.55</v>
      </c>
      <c r="B164" s="263">
        <v>15.9</v>
      </c>
      <c r="C164" s="263">
        <v>90.5</v>
      </c>
      <c r="D164" s="263">
        <v>408.6</v>
      </c>
      <c r="E164" s="242" t="s">
        <v>712</v>
      </c>
      <c r="F164" s="242" t="s">
        <v>713</v>
      </c>
      <c r="G164" s="94" t="str">
        <f>IFERROR(VLOOKUP(F164,[2]Реестр!A:K,2,0),"")</f>
        <v/>
      </c>
      <c r="H164" s="97">
        <v>250</v>
      </c>
      <c r="I164" s="451"/>
    </row>
    <row r="165" spans="1:11" ht="18.75" x14ac:dyDescent="0.3">
      <c r="A165" s="263">
        <v>0.18</v>
      </c>
      <c r="B165" s="263">
        <v>0.05</v>
      </c>
      <c r="C165" s="263">
        <v>0.32</v>
      </c>
      <c r="D165" s="263">
        <v>37.582527999999996</v>
      </c>
      <c r="E165" s="242" t="s">
        <v>714</v>
      </c>
      <c r="F165" s="242" t="s">
        <v>328</v>
      </c>
      <c r="G165" s="94">
        <f>IFERROR(VLOOKUP(F165,[2]Реестр!A:K,2,0),"")</f>
        <v>200</v>
      </c>
      <c r="H165" s="97">
        <v>200</v>
      </c>
      <c r="I165" s="451"/>
    </row>
    <row r="166" spans="1:11" ht="18.75" x14ac:dyDescent="0.3">
      <c r="A166" s="264">
        <v>2.64</v>
      </c>
      <c r="B166" s="264">
        <v>0.48</v>
      </c>
      <c r="C166" s="264">
        <v>16.68</v>
      </c>
      <c r="D166" s="264">
        <v>77.352000000000004</v>
      </c>
      <c r="E166" s="242" t="str">
        <f>"-"</f>
        <v>-</v>
      </c>
      <c r="F166" s="242" t="s">
        <v>715</v>
      </c>
      <c r="G166" s="94" t="str">
        <f>IFERROR(VLOOKUP(F166,[2]Реестр!A:K,2,0),"")</f>
        <v/>
      </c>
      <c r="H166" s="206">
        <v>50</v>
      </c>
      <c r="I166" s="451"/>
    </row>
    <row r="167" spans="1:11" ht="18.75" x14ac:dyDescent="0.3">
      <c r="A167" s="264">
        <v>2.64</v>
      </c>
      <c r="B167" s="264">
        <v>0.48</v>
      </c>
      <c r="C167" s="264">
        <v>16.68</v>
      </c>
      <c r="D167" s="264">
        <v>77.352000000000004</v>
      </c>
      <c r="E167" s="381" t="str">
        <f>"-"</f>
        <v>-</v>
      </c>
      <c r="F167" s="381" t="s">
        <v>707</v>
      </c>
      <c r="G167" s="94" t="str">
        <f>IFERROR(VLOOKUP(F167,[2]Реестр!A:K,2,0),"")</f>
        <v/>
      </c>
      <c r="H167" s="206">
        <v>50</v>
      </c>
      <c r="I167" s="451"/>
    </row>
    <row r="168" spans="1:11" ht="18.75" x14ac:dyDescent="0.3">
      <c r="A168" s="104"/>
      <c r="B168" s="104"/>
      <c r="C168" s="104"/>
      <c r="D168" s="104"/>
      <c r="E168" s="218"/>
      <c r="F168" s="122"/>
      <c r="G168" s="94"/>
      <c r="H168" s="97"/>
      <c r="I168" s="452"/>
    </row>
    <row r="169" spans="1:11" ht="18.75" x14ac:dyDescent="0.3">
      <c r="A169" s="251"/>
      <c r="B169" s="251"/>
      <c r="C169" s="251"/>
      <c r="D169" s="251"/>
      <c r="E169" s="251"/>
      <c r="F169" s="251"/>
      <c r="G169" s="271"/>
      <c r="H169" s="255"/>
      <c r="I169" s="256"/>
    </row>
    <row r="170" spans="1:11" s="215" customFormat="1" ht="18.75" x14ac:dyDescent="0.3">
      <c r="B170" s="252"/>
      <c r="C170" s="253"/>
      <c r="D170" s="253"/>
      <c r="E170" s="253"/>
      <c r="F170" s="254" t="s">
        <v>37</v>
      </c>
      <c r="G170" s="270"/>
      <c r="H170" s="257"/>
      <c r="I170" s="260" t="s">
        <v>580</v>
      </c>
      <c r="K170" s="202"/>
    </row>
    <row r="171" spans="1:11" s="215" customFormat="1" ht="18.75" x14ac:dyDescent="0.3">
      <c r="B171" s="252"/>
      <c r="C171" s="253"/>
      <c r="D171" s="253"/>
      <c r="E171" s="253"/>
      <c r="F171" s="254"/>
      <c r="G171" s="270"/>
      <c r="H171" s="418"/>
      <c r="I171" s="260"/>
      <c r="K171" s="202"/>
    </row>
    <row r="172" spans="1:11" x14ac:dyDescent="0.25">
      <c r="H172" s="414" t="s">
        <v>699</v>
      </c>
    </row>
  </sheetData>
  <autoFilter ref="A4:I93" xr:uid="{00000000-0009-0000-0000-000008000000}"/>
  <mergeCells count="67">
    <mergeCell ref="A153:I153"/>
    <mergeCell ref="I154:I159"/>
    <mergeCell ref="A160:F160"/>
    <mergeCell ref="A161:I161"/>
    <mergeCell ref="I162:I168"/>
    <mergeCell ref="A22:I22"/>
    <mergeCell ref="A29:F29"/>
    <mergeCell ref="A30:I30"/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  <mergeCell ref="J4:J5"/>
    <mergeCell ref="A6:I6"/>
    <mergeCell ref="A12:F12"/>
    <mergeCell ref="A13:I13"/>
    <mergeCell ref="G4:G5"/>
    <mergeCell ref="H4:H5"/>
    <mergeCell ref="A38:F38"/>
    <mergeCell ref="A39:I3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A40:I40"/>
    <mergeCell ref="A85:I85"/>
    <mergeCell ref="A93:F93"/>
    <mergeCell ref="A94:I94"/>
    <mergeCell ref="I95:I99"/>
    <mergeCell ref="A109:I109"/>
    <mergeCell ref="I110:I116"/>
    <mergeCell ref="A100:F100"/>
    <mergeCell ref="A101:I101"/>
    <mergeCell ref="I102:I107"/>
    <mergeCell ref="A108:F108"/>
    <mergeCell ref="A117:F117"/>
    <mergeCell ref="A118:I118"/>
    <mergeCell ref="I119:I125"/>
    <mergeCell ref="I133:I135"/>
    <mergeCell ref="A136:F136"/>
    <mergeCell ref="A132:I132"/>
    <mergeCell ref="A126:F126"/>
    <mergeCell ref="A127:I127"/>
    <mergeCell ref="I128:I130"/>
    <mergeCell ref="A131:F131"/>
    <mergeCell ref="A152:F152"/>
    <mergeCell ref="A137:I137"/>
    <mergeCell ref="I138:I142"/>
    <mergeCell ref="A143:F143"/>
    <mergeCell ref="A144:I144"/>
    <mergeCell ref="I145:I151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2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800-000000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F116</xm:sqref>
        </x14:dataValidation>
        <x14:dataValidation type="list" allowBlank="1" showInputMessage="1" showErrorMessage="1" xr:uid="{00000000-0002-0000-0800-000001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F52 F60 F124 F76:F77 F68 F19 F157:F158 F27:F28 F141:F142 F10:F11 F44:F45 F36 F98:F99 F105:F106 F91 F167</xm:sqref>
        </x14:dataValidation>
        <x14:dataValidation type="list" allowBlank="1" showInputMessage="1" showErrorMessage="1" xr:uid="{00000000-0002-0000-08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F122:F123 F7:F9 F17:F18 F154:F156 F159 F41:F43 F148 F67 F102:F104 F111 F129 F75 F90 F50:F51 F35 F138:F140 F95:F97 F107 F113 F165:F166 F26 F57 F146</xm:sqref>
        </x14:dataValidation>
        <x14:dataValidation type="list" allowBlank="1" showInputMessage="1" showErrorMessage="1" xr:uid="{00000000-0002-0000-08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F76:F77 F91 F68 F124 F98:F99 F52 F10:F11 F19 F157:F158 F27:F28 F44:F45 F60 F36 F105:F106 F141:F142 F167</xm:sqref>
        </x14:dataValidation>
        <x14:dataValidation type="list" allowBlank="1" showInputMessage="1" showErrorMessage="1" xr:uid="{E43EA595-3285-4BDA-8605-3B8FC4B060A0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F80</xm:sqref>
        </x14:dataValidation>
        <x14:dataValidation type="list" allowBlank="1" showInputMessage="1" showErrorMessage="1" xr:uid="{00000000-0002-0000-0800-000005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F14:F16 F110 F112 F145 F83 F119:F121 F87 F47:F49 F64 F32 F147 F162:F164</xm:sqref>
        </x14:dataValidation>
        <x14:dataValidation type="list" allowBlank="1" showInputMessage="1" showErrorMessage="1" xr:uid="{00000000-0002-0000-0800-000008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F20 F150:F151 F53 F37 F92 F69 F115 F125 F168</xm:sqref>
        </x14:dataValidation>
        <x14:dataValidation type="list" allowBlank="1" showInputMessage="1" showErrorMessage="1" xr:uid="{00000000-0002-0000-0800-00000A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F114 F149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7">
    <pageSetUpPr fitToPage="1"/>
  </sheetPr>
  <dimension ref="A1:L154"/>
  <sheetViews>
    <sheetView view="pageBreakPreview" topLeftCell="A130" zoomScaleNormal="100" zoomScaleSheetLayoutView="100" workbookViewId="0">
      <selection activeCell="F7" sqref="F7"/>
    </sheetView>
  </sheetViews>
  <sheetFormatPr defaultRowHeight="15.75" x14ac:dyDescent="0.25"/>
  <cols>
    <col min="1" max="1" width="11.28515625" style="215" customWidth="1"/>
    <col min="2" max="2" width="11.28515625" style="252" customWidth="1"/>
    <col min="3" max="3" width="10.5703125" style="253" customWidth="1"/>
    <col min="4" max="4" width="10.28515625" style="253" customWidth="1"/>
    <col min="5" max="5" width="14" style="253" customWidth="1"/>
    <col min="6" max="6" width="57.85546875" style="253" customWidth="1"/>
    <col min="7" max="7" width="17.85546875" style="253" hidden="1" customWidth="1"/>
    <col min="8" max="9" width="15.5703125" style="253" customWidth="1"/>
    <col min="10" max="10" width="25.5703125" style="215" customWidth="1"/>
    <col min="11" max="1025" width="8.7109375" style="202" customWidth="1"/>
    <col min="1026" max="16384" width="9.140625" style="202"/>
  </cols>
  <sheetData>
    <row r="1" spans="1:12" s="234" customFormat="1" ht="29.25" customHeight="1" x14ac:dyDescent="0.25">
      <c r="A1" s="468" t="s">
        <v>0</v>
      </c>
      <c r="B1" s="468"/>
      <c r="C1" s="235"/>
      <c r="D1" s="235"/>
      <c r="E1" s="235"/>
      <c r="F1" s="231" t="s">
        <v>1</v>
      </c>
      <c r="G1" s="231"/>
      <c r="H1" s="439" t="s">
        <v>0</v>
      </c>
      <c r="I1" s="439"/>
    </row>
    <row r="2" spans="1:12" s="234" customFormat="1" ht="29.25" customHeight="1" x14ac:dyDescent="0.25">
      <c r="A2" s="235" t="s">
        <v>2</v>
      </c>
      <c r="B2" s="235"/>
      <c r="C2" s="259"/>
      <c r="D2" s="259"/>
      <c r="E2" s="259"/>
      <c r="F2" s="231" t="s">
        <v>582</v>
      </c>
      <c r="G2" s="231"/>
      <c r="H2" s="469" t="s">
        <v>581</v>
      </c>
      <c r="I2" s="469"/>
      <c r="J2" s="235"/>
    </row>
    <row r="3" spans="1:12" s="234" customFormat="1" ht="29.25" customHeight="1" x14ac:dyDescent="0.25">
      <c r="A3" s="437" t="s">
        <v>522</v>
      </c>
      <c r="B3" s="437"/>
      <c r="C3" s="437"/>
      <c r="D3" s="438"/>
      <c r="E3" s="438"/>
      <c r="F3" s="231" t="s">
        <v>748</v>
      </c>
      <c r="G3" s="231"/>
      <c r="H3" s="470" t="s">
        <v>672</v>
      </c>
      <c r="I3" s="470"/>
    </row>
    <row r="4" spans="1:12" ht="15" customHeight="1" x14ac:dyDescent="0.25">
      <c r="A4" s="472" t="s">
        <v>4</v>
      </c>
      <c r="B4" s="472"/>
      <c r="C4" s="472"/>
      <c r="D4" s="471" t="s">
        <v>5</v>
      </c>
      <c r="E4" s="471" t="s">
        <v>6</v>
      </c>
      <c r="F4" s="471" t="s">
        <v>7</v>
      </c>
      <c r="G4" s="473" t="s">
        <v>8</v>
      </c>
      <c r="H4" s="471" t="s">
        <v>9</v>
      </c>
      <c r="I4" s="471" t="s">
        <v>10</v>
      </c>
      <c r="J4" s="471" t="s">
        <v>11</v>
      </c>
    </row>
    <row r="5" spans="1:12" x14ac:dyDescent="0.25">
      <c r="A5" s="232" t="s">
        <v>12</v>
      </c>
      <c r="B5" s="232" t="s">
        <v>13</v>
      </c>
      <c r="C5" s="232" t="s">
        <v>14</v>
      </c>
      <c r="D5" s="471"/>
      <c r="E5" s="471"/>
      <c r="F5" s="471"/>
      <c r="G5" s="473"/>
      <c r="H5" s="471"/>
      <c r="I5" s="471"/>
      <c r="J5" s="471"/>
    </row>
    <row r="6" spans="1:12" ht="18" customHeight="1" x14ac:dyDescent="0.3">
      <c r="A6" s="462" t="s">
        <v>15</v>
      </c>
      <c r="B6" s="462"/>
      <c r="C6" s="462"/>
      <c r="D6" s="462"/>
      <c r="E6" s="462"/>
      <c r="F6" s="462"/>
      <c r="G6" s="462"/>
      <c r="H6" s="462"/>
      <c r="I6" s="462"/>
      <c r="J6" s="212"/>
    </row>
    <row r="7" spans="1:12" ht="18" customHeight="1" x14ac:dyDescent="0.3">
      <c r="A7" s="243">
        <v>4.2300000000000004</v>
      </c>
      <c r="B7" s="243">
        <v>4.96</v>
      </c>
      <c r="C7" s="243">
        <v>38.700000000000003</v>
      </c>
      <c r="D7" s="243">
        <v>228.9</v>
      </c>
      <c r="E7" s="242" t="str">
        <f>"1/50"</f>
        <v>1/50</v>
      </c>
      <c r="F7" s="242" t="s">
        <v>706</v>
      </c>
      <c r="G7" s="211" t="str">
        <f>IFERROR(VLOOKUP(F7,[1]Реестр!A:K,2,0),"")</f>
        <v/>
      </c>
      <c r="H7" s="210">
        <v>30</v>
      </c>
      <c r="I7" s="207">
        <v>38.369999999999997</v>
      </c>
      <c r="J7" s="201" t="str">
        <f>IFERROR(VLOOKUP(O7,Реестр!#REF!,3,0)*Q7/P7,"")</f>
        <v/>
      </c>
    </row>
    <row r="8" spans="1:12" ht="18" customHeight="1" x14ac:dyDescent="0.3">
      <c r="A8" s="243">
        <v>13.79</v>
      </c>
      <c r="B8" s="243">
        <v>14.6</v>
      </c>
      <c r="C8" s="243">
        <v>23.4</v>
      </c>
      <c r="D8" s="243">
        <v>266.7</v>
      </c>
      <c r="E8" s="242" t="str">
        <f>"4/56"</f>
        <v>4/56</v>
      </c>
      <c r="F8" s="242" t="s">
        <v>705</v>
      </c>
      <c r="G8" s="211"/>
      <c r="H8" s="210">
        <v>150</v>
      </c>
      <c r="I8" s="207">
        <v>75.42</v>
      </c>
      <c r="J8" s="201" t="str">
        <f>IFERROR(VLOOKUP(O8,Реестр!#REF!,3,0)*Q8/P8,"")</f>
        <v/>
      </c>
    </row>
    <row r="9" spans="1:12" ht="18" customHeight="1" x14ac:dyDescent="0.3">
      <c r="A9" s="243">
        <v>0.18</v>
      </c>
      <c r="B9" s="243">
        <v>0.04</v>
      </c>
      <c r="C9" s="243">
        <v>13.75</v>
      </c>
      <c r="D9" s="243">
        <v>53.136642799999997</v>
      </c>
      <c r="E9" s="242" t="str">
        <f>"11/56"</f>
        <v>11/56</v>
      </c>
      <c r="F9" s="242" t="s">
        <v>499</v>
      </c>
      <c r="G9" s="211"/>
      <c r="H9" s="210">
        <v>200</v>
      </c>
      <c r="I9" s="207">
        <v>8.15</v>
      </c>
      <c r="J9" s="201" t="str">
        <f>IFERROR(VLOOKUP(O9,Реестр!#REF!,3,0)*Q9/P9,"")</f>
        <v/>
      </c>
    </row>
    <row r="10" spans="1:12" ht="18" customHeight="1" x14ac:dyDescent="0.3">
      <c r="A10" s="264">
        <v>1.3</v>
      </c>
      <c r="B10" s="264">
        <v>0.2</v>
      </c>
      <c r="C10" s="264">
        <v>6.7</v>
      </c>
      <c r="D10" s="264">
        <v>39</v>
      </c>
      <c r="E10" s="381" t="str">
        <f>"-"</f>
        <v>-</v>
      </c>
      <c r="F10" s="381" t="s">
        <v>707</v>
      </c>
      <c r="G10" s="211"/>
      <c r="H10" s="206">
        <v>20</v>
      </c>
      <c r="I10" s="207">
        <v>1.8</v>
      </c>
      <c r="J10" s="201" t="str">
        <f>IFERROR(VLOOKUP(O10,Реестр!#REF!,3,0)*Q10/P10,"")</f>
        <v/>
      </c>
    </row>
    <row r="11" spans="1:12" ht="18.75" x14ac:dyDescent="0.3">
      <c r="A11" s="264">
        <v>0.52</v>
      </c>
      <c r="B11" s="264">
        <v>0.52</v>
      </c>
      <c r="C11" s="264">
        <v>15.08</v>
      </c>
      <c r="D11" s="264">
        <v>63.283999999999985</v>
      </c>
      <c r="E11" s="381" t="str">
        <f>"-"</f>
        <v>-</v>
      </c>
      <c r="F11" s="381" t="s">
        <v>708</v>
      </c>
      <c r="G11" s="211"/>
      <c r="H11" s="206">
        <v>130</v>
      </c>
      <c r="I11" s="207">
        <v>25.78</v>
      </c>
      <c r="J11" s="206"/>
      <c r="K11" s="208"/>
    </row>
    <row r="12" spans="1:12" ht="18" customHeight="1" x14ac:dyDescent="0.3">
      <c r="A12" s="464" t="s">
        <v>16</v>
      </c>
      <c r="B12" s="464"/>
      <c r="C12" s="464"/>
      <c r="D12" s="464"/>
      <c r="E12" s="464"/>
      <c r="F12" s="464"/>
      <c r="G12" s="205"/>
      <c r="H12" s="206"/>
      <c r="I12" s="207">
        <f>SUM(I7:I11)</f>
        <v>149.51999999999998</v>
      </c>
      <c r="J12" s="206">
        <v>85.2</v>
      </c>
      <c r="K12" s="208">
        <f>I12-J12</f>
        <v>64.319999999999979</v>
      </c>
      <c r="L12" s="208"/>
    </row>
    <row r="13" spans="1:12" ht="18" customHeight="1" x14ac:dyDescent="0.3">
      <c r="A13" s="462" t="s">
        <v>17</v>
      </c>
      <c r="B13" s="462"/>
      <c r="C13" s="462"/>
      <c r="D13" s="462"/>
      <c r="E13" s="462"/>
      <c r="F13" s="462"/>
      <c r="G13" s="462"/>
      <c r="H13" s="462"/>
      <c r="I13" s="462"/>
      <c r="J13" s="212"/>
    </row>
    <row r="14" spans="1:12" ht="30" x14ac:dyDescent="0.3">
      <c r="A14" s="383">
        <v>1.33</v>
      </c>
      <c r="B14" s="383">
        <v>5.12</v>
      </c>
      <c r="C14" s="383">
        <v>4.0999999999999996</v>
      </c>
      <c r="D14" s="383">
        <v>73.52</v>
      </c>
      <c r="E14" s="382" t="s">
        <v>709</v>
      </c>
      <c r="F14" s="242" t="s">
        <v>710</v>
      </c>
      <c r="G14" s="211" t="str">
        <f>IFERROR(VLOOKUP(F14,[2]Реестр!A:K,2,0),"")</f>
        <v/>
      </c>
      <c r="H14" s="210">
        <v>80</v>
      </c>
      <c r="I14" s="230">
        <v>44.94</v>
      </c>
      <c r="J14" s="201" t="str">
        <f>IFERROR(VLOOKUP(O14,Реестр!#REF!,3,0)*Q14/P14,"")</f>
        <v/>
      </c>
    </row>
    <row r="15" spans="1:12" ht="18" customHeight="1" x14ac:dyDescent="0.3">
      <c r="A15" s="263">
        <v>4.1100000000000003</v>
      </c>
      <c r="B15" s="263">
        <v>4.7699999999999996</v>
      </c>
      <c r="C15" s="263">
        <v>19.5</v>
      </c>
      <c r="D15" s="263">
        <v>143.13</v>
      </c>
      <c r="E15" s="242" t="s">
        <v>711</v>
      </c>
      <c r="F15" s="242" t="s">
        <v>716</v>
      </c>
      <c r="G15" s="211" t="str">
        <f>IFERROR(VLOOKUP(F15,[2]Реестр!A:K,2,0),"")</f>
        <v/>
      </c>
      <c r="H15" s="206">
        <v>250</v>
      </c>
      <c r="I15" s="207">
        <v>50</v>
      </c>
      <c r="J15" s="201" t="str">
        <f>IFERROR(VLOOKUP(O15,Реестр!#REF!,3,0)*Q15/P15,"")</f>
        <v/>
      </c>
    </row>
    <row r="16" spans="1:12" ht="18" customHeight="1" x14ac:dyDescent="0.3">
      <c r="A16" s="263">
        <v>15.55</v>
      </c>
      <c r="B16" s="263">
        <v>15.4</v>
      </c>
      <c r="C16" s="263">
        <v>57.1</v>
      </c>
      <c r="D16" s="263">
        <v>364.2</v>
      </c>
      <c r="E16" s="242" t="s">
        <v>712</v>
      </c>
      <c r="F16" s="242" t="s">
        <v>713</v>
      </c>
      <c r="G16" s="211" t="str">
        <f>IFERROR(VLOOKUP(F16,[2]Реестр!A:K,2,0),"")</f>
        <v/>
      </c>
      <c r="H16" s="206">
        <v>200</v>
      </c>
      <c r="I16" s="206">
        <v>102.59</v>
      </c>
      <c r="J16" s="201" t="str">
        <f>IFERROR(VLOOKUP(O16,Реестр!#REF!,3,0)*Q16/P16,"")</f>
        <v/>
      </c>
    </row>
    <row r="17" spans="1:12" ht="18" customHeight="1" x14ac:dyDescent="0.3">
      <c r="A17" s="263">
        <v>0.18</v>
      </c>
      <c r="B17" s="263">
        <v>0.05</v>
      </c>
      <c r="C17" s="263">
        <v>0.32</v>
      </c>
      <c r="D17" s="263">
        <v>37.582527999999996</v>
      </c>
      <c r="E17" s="242" t="s">
        <v>714</v>
      </c>
      <c r="F17" s="242" t="s">
        <v>328</v>
      </c>
      <c r="G17" s="211">
        <f>IFERROR(VLOOKUP(F17,[2]Реестр!A:K,2,0),"")</f>
        <v>200</v>
      </c>
      <c r="H17" s="206">
        <v>200</v>
      </c>
      <c r="I17" s="207">
        <v>19.54</v>
      </c>
      <c r="J17" s="201"/>
    </row>
    <row r="18" spans="1:12" ht="18" customHeight="1" x14ac:dyDescent="0.3">
      <c r="A18" s="264">
        <v>3.3</v>
      </c>
      <c r="B18" s="264">
        <v>0.3</v>
      </c>
      <c r="C18" s="264">
        <v>23.4</v>
      </c>
      <c r="D18" s="264">
        <v>112</v>
      </c>
      <c r="E18" s="242" t="s">
        <v>471</v>
      </c>
      <c r="F18" s="242" t="s">
        <v>715</v>
      </c>
      <c r="G18" s="211" t="str">
        <f>IFERROR(VLOOKUP(F18,[2]Реестр!A:K,2,0),"")</f>
        <v/>
      </c>
      <c r="H18" s="206">
        <v>50</v>
      </c>
      <c r="I18" s="207">
        <v>4.5</v>
      </c>
      <c r="J18" s="201" t="str">
        <f>IFERROR(VLOOKUP(O18,Реестр!#REF!,3,0)*Q18/P18,"")</f>
        <v/>
      </c>
    </row>
    <row r="19" spans="1:12" ht="18" customHeight="1" x14ac:dyDescent="0.3">
      <c r="A19" s="241">
        <v>2</v>
      </c>
      <c r="B19" s="241">
        <v>0.4</v>
      </c>
      <c r="C19" s="241">
        <v>10</v>
      </c>
      <c r="D19" s="241">
        <v>58</v>
      </c>
      <c r="E19" s="381" t="s">
        <v>471</v>
      </c>
      <c r="F19" s="381" t="s">
        <v>707</v>
      </c>
      <c r="G19" s="211" t="str">
        <f>IFERROR(VLOOKUP(F19,[2]Реестр!A:K,2,0),"")</f>
        <v/>
      </c>
      <c r="H19" s="206">
        <v>30</v>
      </c>
      <c r="I19" s="203">
        <v>2.7</v>
      </c>
      <c r="J19" s="201" t="str">
        <f>IFERROR(VLOOKUP(O19,Реестр!#REF!,3,0)*Q19/P19,"")</f>
        <v/>
      </c>
    </row>
    <row r="20" spans="1:12" ht="18" customHeight="1" x14ac:dyDescent="0.3">
      <c r="A20" s="196"/>
      <c r="B20" s="196"/>
      <c r="C20" s="196"/>
      <c r="D20" s="196"/>
      <c r="E20" s="214"/>
      <c r="F20" s="204"/>
      <c r="G20" s="199"/>
      <c r="H20" s="200"/>
      <c r="I20" s="203"/>
      <c r="J20" s="201"/>
    </row>
    <row r="21" spans="1:12" ht="18.75" x14ac:dyDescent="0.3">
      <c r="A21" s="464" t="s">
        <v>16</v>
      </c>
      <c r="B21" s="464"/>
      <c r="C21" s="464"/>
      <c r="D21" s="464"/>
      <c r="E21" s="464"/>
      <c r="F21" s="464"/>
      <c r="G21" s="205"/>
      <c r="H21" s="206"/>
      <c r="I21" s="207">
        <f>SUM(I14:I20)</f>
        <v>224.26999999999998</v>
      </c>
      <c r="J21" s="206">
        <v>127.79</v>
      </c>
      <c r="K21" s="208">
        <f>J21-I21</f>
        <v>-96.479999999999976</v>
      </c>
    </row>
    <row r="22" spans="1:12" ht="18.75" hidden="1" x14ac:dyDescent="0.3">
      <c r="A22" s="462" t="s">
        <v>500</v>
      </c>
      <c r="B22" s="462"/>
      <c r="C22" s="462"/>
      <c r="D22" s="462"/>
      <c r="E22" s="462"/>
      <c r="F22" s="462"/>
      <c r="G22" s="462"/>
      <c r="H22" s="462"/>
      <c r="I22" s="462"/>
      <c r="J22" s="212"/>
    </row>
    <row r="23" spans="1:12" ht="18.75" hidden="1" x14ac:dyDescent="0.25">
      <c r="A23" s="369">
        <v>0.24</v>
      </c>
      <c r="B23" s="369">
        <v>0.03</v>
      </c>
      <c r="C23" s="369">
        <v>0.74</v>
      </c>
      <c r="D23" s="369">
        <v>4.2</v>
      </c>
      <c r="E23" s="370" t="str">
        <f>"7/10"</f>
        <v>7/10</v>
      </c>
      <c r="F23" s="265" t="s">
        <v>679</v>
      </c>
      <c r="G23" s="211" t="str">
        <f>IFERROR(VLOOKUP(F23,[1]Реестр!A:K,2,0),"")</f>
        <v/>
      </c>
      <c r="H23" s="210">
        <v>30</v>
      </c>
      <c r="I23" s="230">
        <v>16.100000000000001</v>
      </c>
      <c r="J23" s="212"/>
    </row>
    <row r="24" spans="1:12" ht="18.75" hidden="1" x14ac:dyDescent="0.3">
      <c r="A24" s="348">
        <v>19.440000000000001</v>
      </c>
      <c r="B24" s="348">
        <v>21.37</v>
      </c>
      <c r="C24" s="348">
        <v>55.36</v>
      </c>
      <c r="D24" s="348">
        <v>508.5</v>
      </c>
      <c r="E24" s="349" t="str">
        <f>"8/35"</f>
        <v>8/35</v>
      </c>
      <c r="F24" s="349" t="s">
        <v>549</v>
      </c>
      <c r="G24" s="211" t="str">
        <f>IFERROR(VLOOKUP(F24,[2]Реестр!A:K,2,0),"")</f>
        <v/>
      </c>
      <c r="H24" s="206">
        <v>250</v>
      </c>
      <c r="I24" s="206">
        <v>140.84</v>
      </c>
      <c r="J24" s="201" t="str">
        <f>IFERROR(VLOOKUP(O24,Реестр!#REF!,3,0)*Q24/P24,"")</f>
        <v/>
      </c>
    </row>
    <row r="25" spans="1:12" ht="18.75" hidden="1" x14ac:dyDescent="0.3">
      <c r="A25" s="263">
        <v>0.14000000000000001</v>
      </c>
      <c r="B25" s="263">
        <v>0.1</v>
      </c>
      <c r="C25" s="263">
        <v>1.5</v>
      </c>
      <c r="D25" s="263">
        <v>83.962620000000015</v>
      </c>
      <c r="E25" s="349" t="str">
        <f>"11/1"</f>
        <v>11/1</v>
      </c>
      <c r="F25" s="349" t="s">
        <v>317</v>
      </c>
      <c r="G25" s="211">
        <f>IFERROR(VLOOKUP(F25,[2]Реестр!A:K,2,0),"")</f>
        <v>200</v>
      </c>
      <c r="H25" s="206">
        <v>200</v>
      </c>
      <c r="I25" s="207">
        <v>12.8</v>
      </c>
      <c r="J25" s="201"/>
    </row>
    <row r="26" spans="1:12" ht="18.75" hidden="1" x14ac:dyDescent="0.3">
      <c r="A26" s="209">
        <v>2.64</v>
      </c>
      <c r="B26" s="209">
        <v>0.24</v>
      </c>
      <c r="C26" s="209">
        <v>18.72</v>
      </c>
      <c r="D26" s="209">
        <v>89.6</v>
      </c>
      <c r="E26" s="210" t="s">
        <v>471</v>
      </c>
      <c r="F26" s="217" t="s">
        <v>66</v>
      </c>
      <c r="G26" s="211" t="str">
        <f>IFERROR(VLOOKUP(F26,[2]Реестр!A:K,2,0),"")</f>
        <v>100</v>
      </c>
      <c r="H26" s="206">
        <v>40</v>
      </c>
      <c r="I26" s="207">
        <v>3.6</v>
      </c>
      <c r="J26" s="201" t="str">
        <f>IFERROR(VLOOKUP(O26,Реестр!#REF!,3,0)*Q26/P26,"")</f>
        <v/>
      </c>
    </row>
    <row r="27" spans="1:12" ht="18.75" hidden="1" x14ac:dyDescent="0.3">
      <c r="A27" s="209">
        <v>2.64</v>
      </c>
      <c r="B27" s="209">
        <v>0.48</v>
      </c>
      <c r="C27" s="209">
        <v>13.36</v>
      </c>
      <c r="D27" s="209">
        <v>77.2</v>
      </c>
      <c r="E27" s="210" t="s">
        <v>471</v>
      </c>
      <c r="F27" s="217" t="s">
        <v>65</v>
      </c>
      <c r="G27" s="211" t="str">
        <f>IFERROR(VLOOKUP(F27,[2]Реестр!A:K,2,0),"")</f>
        <v>100</v>
      </c>
      <c r="H27" s="206">
        <v>40</v>
      </c>
      <c r="I27" s="207">
        <v>3.6</v>
      </c>
      <c r="J27" s="201"/>
    </row>
    <row r="28" spans="1:12" ht="18.75" hidden="1" x14ac:dyDescent="0.3">
      <c r="A28" s="196"/>
      <c r="B28" s="196"/>
      <c r="C28" s="196"/>
      <c r="D28" s="196"/>
      <c r="E28" s="197"/>
      <c r="F28" s="204"/>
      <c r="G28" s="199"/>
      <c r="H28" s="200"/>
      <c r="I28" s="203"/>
      <c r="J28" s="201" t="str">
        <f>IFERROR(VLOOKUP(O28,Реестр!#REF!,3,0)*Q28/P28,"")</f>
        <v/>
      </c>
    </row>
    <row r="29" spans="1:12" ht="18.75" hidden="1" x14ac:dyDescent="0.3">
      <c r="A29" s="453" t="s">
        <v>16</v>
      </c>
      <c r="B29" s="454"/>
      <c r="C29" s="454"/>
      <c r="D29" s="454"/>
      <c r="E29" s="454"/>
      <c r="F29" s="455"/>
      <c r="G29" s="205"/>
      <c r="H29" s="206"/>
      <c r="I29" s="207">
        <f>SUM(I23:I28)</f>
        <v>176.94</v>
      </c>
      <c r="J29" s="206">
        <v>98.52</v>
      </c>
      <c r="K29" s="208">
        <f>I29-J29</f>
        <v>78.42</v>
      </c>
      <c r="L29" s="208"/>
    </row>
    <row r="30" spans="1:12" ht="18.75" hidden="1" x14ac:dyDescent="0.3">
      <c r="A30" s="462" t="s">
        <v>501</v>
      </c>
      <c r="B30" s="462"/>
      <c r="C30" s="462"/>
      <c r="D30" s="462"/>
      <c r="E30" s="462"/>
      <c r="F30" s="462"/>
      <c r="G30" s="462"/>
      <c r="H30" s="462"/>
      <c r="I30" s="462"/>
      <c r="J30" s="201"/>
    </row>
    <row r="31" spans="1:12" ht="18.75" hidden="1" x14ac:dyDescent="0.3">
      <c r="A31" s="368">
        <v>1.29</v>
      </c>
      <c r="B31" s="368">
        <v>5.97</v>
      </c>
      <c r="C31" s="368">
        <v>7.97</v>
      </c>
      <c r="D31" s="368">
        <v>86.23</v>
      </c>
      <c r="E31" s="357" t="str">
        <f>"7/80"</f>
        <v>7/80</v>
      </c>
      <c r="F31" s="228" t="s">
        <v>680</v>
      </c>
      <c r="G31" s="211" t="str">
        <f>IFERROR(VLOOKUP(F31,[2]Реестр!A:K,2,0),"")</f>
        <v/>
      </c>
      <c r="H31" s="210">
        <v>100</v>
      </c>
      <c r="I31" s="230">
        <v>52.76</v>
      </c>
      <c r="J31" s="201"/>
    </row>
    <row r="32" spans="1:12" ht="18.75" hidden="1" x14ac:dyDescent="0.3">
      <c r="A32" s="209">
        <v>8.9166666666666661</v>
      </c>
      <c r="B32" s="209">
        <v>7.75</v>
      </c>
      <c r="C32" s="209">
        <v>19.5</v>
      </c>
      <c r="D32" s="209">
        <v>185</v>
      </c>
      <c r="E32" s="210" t="s">
        <v>213</v>
      </c>
      <c r="F32" s="398" t="s">
        <v>212</v>
      </c>
      <c r="G32" s="211" t="str">
        <f>IFERROR(VLOOKUP(F32,[2]Реестр!A:K,2,0),"")</f>
        <v>300</v>
      </c>
      <c r="H32" s="206">
        <v>250</v>
      </c>
      <c r="I32" s="207">
        <v>50</v>
      </c>
      <c r="J32" s="206"/>
      <c r="K32" s="208">
        <f>I38-J32</f>
        <v>265.39999999999998</v>
      </c>
    </row>
    <row r="33" spans="1:12" ht="18.75" hidden="1" x14ac:dyDescent="0.3">
      <c r="A33" s="348">
        <v>19.440000000000001</v>
      </c>
      <c r="B33" s="348">
        <v>21.37</v>
      </c>
      <c r="C33" s="348">
        <v>55.36</v>
      </c>
      <c r="D33" s="348">
        <v>508.5</v>
      </c>
      <c r="E33" s="349" t="str">
        <f>"8/35"</f>
        <v>8/35</v>
      </c>
      <c r="F33" s="349" t="s">
        <v>549</v>
      </c>
      <c r="G33" s="211" t="str">
        <f>IFERROR(VLOOKUP(F33,[2]Реестр!A:K,2,0),"")</f>
        <v/>
      </c>
      <c r="H33" s="206">
        <v>250</v>
      </c>
      <c r="I33" s="206">
        <v>140.84</v>
      </c>
      <c r="J33" s="212"/>
    </row>
    <row r="34" spans="1:12" ht="18.75" hidden="1" x14ac:dyDescent="0.3">
      <c r="A34" s="263">
        <v>0.14000000000000001</v>
      </c>
      <c r="B34" s="263">
        <v>0.1</v>
      </c>
      <c r="C34" s="263">
        <v>1.5</v>
      </c>
      <c r="D34" s="263">
        <v>83.962620000000015</v>
      </c>
      <c r="E34" s="349" t="str">
        <f>"11/1"</f>
        <v>11/1</v>
      </c>
      <c r="F34" s="349" t="s">
        <v>317</v>
      </c>
      <c r="G34" s="211">
        <f>IFERROR(VLOOKUP(F34,[2]Реестр!A:K,2,0),"")</f>
        <v>200</v>
      </c>
      <c r="H34" s="206">
        <v>200</v>
      </c>
      <c r="I34" s="207">
        <v>12.8</v>
      </c>
      <c r="J34" s="212"/>
    </row>
    <row r="35" spans="1:12" ht="18.75" hidden="1" x14ac:dyDescent="0.3">
      <c r="A35" s="209">
        <v>3.3</v>
      </c>
      <c r="B35" s="209">
        <v>0.3</v>
      </c>
      <c r="C35" s="209">
        <v>23.4</v>
      </c>
      <c r="D35" s="209">
        <v>112</v>
      </c>
      <c r="E35" s="210" t="s">
        <v>471</v>
      </c>
      <c r="F35" s="217" t="s">
        <v>66</v>
      </c>
      <c r="G35" s="211" t="str">
        <f>IFERROR(VLOOKUP(F35,[2]Реестр!A:K,2,0),"")</f>
        <v>100</v>
      </c>
      <c r="H35" s="206">
        <v>50</v>
      </c>
      <c r="I35" s="207">
        <v>4.5</v>
      </c>
      <c r="J35" s="212"/>
    </row>
    <row r="36" spans="1:12" ht="18.75" hidden="1" x14ac:dyDescent="0.3">
      <c r="A36" s="209">
        <v>3.3</v>
      </c>
      <c r="B36" s="209">
        <v>0.6</v>
      </c>
      <c r="C36" s="209">
        <v>16.7</v>
      </c>
      <c r="D36" s="209">
        <v>96.5</v>
      </c>
      <c r="E36" s="210" t="s">
        <v>471</v>
      </c>
      <c r="F36" s="217" t="s">
        <v>65</v>
      </c>
      <c r="G36" s="211" t="str">
        <f>IFERROR(VLOOKUP(F36,[2]Реестр!A:K,2,0),"")</f>
        <v>100</v>
      </c>
      <c r="H36" s="206">
        <v>50</v>
      </c>
      <c r="I36" s="207">
        <v>4.5</v>
      </c>
      <c r="J36" s="394"/>
    </row>
    <row r="37" spans="1:12" ht="18.75" hidden="1" x14ac:dyDescent="0.3">
      <c r="A37" s="209"/>
      <c r="B37" s="209"/>
      <c r="C37" s="209"/>
      <c r="D37" s="209"/>
      <c r="E37" s="218"/>
      <c r="F37" s="217"/>
      <c r="G37" s="211"/>
      <c r="H37" s="206"/>
      <c r="I37" s="207"/>
      <c r="J37" s="394"/>
    </row>
    <row r="38" spans="1:12" ht="18.75" hidden="1" x14ac:dyDescent="0.3">
      <c r="A38" s="453" t="s">
        <v>16</v>
      </c>
      <c r="B38" s="454"/>
      <c r="C38" s="454"/>
      <c r="D38" s="454"/>
      <c r="E38" s="454"/>
      <c r="F38" s="455"/>
      <c r="G38" s="205"/>
      <c r="H38" s="206"/>
      <c r="I38" s="207">
        <f>SUM(I31:I37)</f>
        <v>265.39999999999998</v>
      </c>
      <c r="J38" s="206">
        <v>147.79</v>
      </c>
      <c r="K38" s="208">
        <f>I38-J38</f>
        <v>117.60999999999999</v>
      </c>
    </row>
    <row r="39" spans="1:12" ht="18.75" x14ac:dyDescent="0.3">
      <c r="A39" s="462" t="s">
        <v>18</v>
      </c>
      <c r="B39" s="462"/>
      <c r="C39" s="462"/>
      <c r="D39" s="462"/>
      <c r="E39" s="462"/>
      <c r="F39" s="462"/>
      <c r="G39" s="462"/>
      <c r="H39" s="462"/>
      <c r="I39" s="462"/>
      <c r="J39" s="394"/>
    </row>
    <row r="40" spans="1:12" ht="18.75" x14ac:dyDescent="0.3">
      <c r="A40" s="462" t="s">
        <v>19</v>
      </c>
      <c r="B40" s="462"/>
      <c r="C40" s="462"/>
      <c r="D40" s="462"/>
      <c r="E40" s="462"/>
      <c r="F40" s="462"/>
      <c r="G40" s="462"/>
      <c r="H40" s="462"/>
      <c r="I40" s="462"/>
      <c r="J40" s="394"/>
    </row>
    <row r="41" spans="1:12" ht="18.75" x14ac:dyDescent="0.3">
      <c r="A41" s="243">
        <v>4.2300000000000004</v>
      </c>
      <c r="B41" s="243">
        <v>4.96</v>
      </c>
      <c r="C41" s="243">
        <v>38.700000000000003</v>
      </c>
      <c r="D41" s="243">
        <v>228.9</v>
      </c>
      <c r="E41" s="242" t="str">
        <f>"1/50"</f>
        <v>1/50</v>
      </c>
      <c r="F41" s="242" t="s">
        <v>706</v>
      </c>
      <c r="G41" s="211" t="str">
        <f>IFERROR(VLOOKUP(F41,[1]Реестр!A:K,2,0),"")</f>
        <v/>
      </c>
      <c r="H41" s="210">
        <v>30</v>
      </c>
      <c r="I41" s="207">
        <v>38.369999999999997</v>
      </c>
      <c r="J41" s="394" t="s">
        <v>20</v>
      </c>
    </row>
    <row r="42" spans="1:12" ht="18.75" x14ac:dyDescent="0.3">
      <c r="A42" s="243">
        <v>13.79</v>
      </c>
      <c r="B42" s="243">
        <v>14.6</v>
      </c>
      <c r="C42" s="243">
        <v>23.4</v>
      </c>
      <c r="D42" s="243">
        <v>266.7</v>
      </c>
      <c r="E42" s="242" t="str">
        <f>"4/56"</f>
        <v>4/56</v>
      </c>
      <c r="F42" s="242" t="s">
        <v>705</v>
      </c>
      <c r="G42" s="211"/>
      <c r="H42" s="210">
        <v>150</v>
      </c>
      <c r="I42" s="207">
        <v>75.42</v>
      </c>
      <c r="J42" s="394" t="s">
        <v>537</v>
      </c>
      <c r="K42" s="237"/>
      <c r="L42" s="237"/>
    </row>
    <row r="43" spans="1:12" ht="18.75" x14ac:dyDescent="0.3">
      <c r="A43" s="243">
        <v>0.18</v>
      </c>
      <c r="B43" s="243">
        <v>0.04</v>
      </c>
      <c r="C43" s="243">
        <v>13.75</v>
      </c>
      <c r="D43" s="243">
        <v>53.136642799999997</v>
      </c>
      <c r="E43" s="242" t="str">
        <f>"11/56"</f>
        <v>11/56</v>
      </c>
      <c r="F43" s="242" t="s">
        <v>499</v>
      </c>
      <c r="G43" s="211"/>
      <c r="H43" s="210">
        <v>200</v>
      </c>
      <c r="I43" s="207">
        <v>8.15</v>
      </c>
      <c r="J43" s="394" t="s">
        <v>477</v>
      </c>
      <c r="K43" s="237"/>
      <c r="L43" s="237"/>
    </row>
    <row r="44" spans="1:12" ht="18.75" x14ac:dyDescent="0.3">
      <c r="A44" s="264">
        <v>1.3</v>
      </c>
      <c r="B44" s="264">
        <v>0.2</v>
      </c>
      <c r="C44" s="264">
        <v>6.7</v>
      </c>
      <c r="D44" s="264">
        <v>39</v>
      </c>
      <c r="E44" s="381" t="str">
        <f>"-"</f>
        <v>-</v>
      </c>
      <c r="F44" s="381" t="s">
        <v>707</v>
      </c>
      <c r="G44" s="211"/>
      <c r="H44" s="206">
        <v>20</v>
      </c>
      <c r="I44" s="207">
        <v>1.8</v>
      </c>
      <c r="J44" s="394" t="s">
        <v>479</v>
      </c>
      <c r="K44" s="237"/>
      <c r="L44" s="237"/>
    </row>
    <row r="45" spans="1:12" ht="18.75" x14ac:dyDescent="0.3">
      <c r="A45" s="264">
        <v>0.52</v>
      </c>
      <c r="B45" s="264">
        <v>0.52</v>
      </c>
      <c r="C45" s="264">
        <v>15.08</v>
      </c>
      <c r="D45" s="264">
        <v>63.283999999999985</v>
      </c>
      <c r="E45" s="381" t="str">
        <f>"-"</f>
        <v>-</v>
      </c>
      <c r="F45" s="381" t="s">
        <v>708</v>
      </c>
      <c r="G45" s="211"/>
      <c r="H45" s="206">
        <v>130</v>
      </c>
      <c r="I45" s="207">
        <v>25.78</v>
      </c>
      <c r="J45" s="394" t="s">
        <v>475</v>
      </c>
      <c r="K45" s="238"/>
      <c r="L45" s="237"/>
    </row>
    <row r="46" spans="1:12" ht="18.75" x14ac:dyDescent="0.3">
      <c r="A46" s="465" t="s">
        <v>25</v>
      </c>
      <c r="B46" s="466"/>
      <c r="C46" s="466"/>
      <c r="D46" s="466"/>
      <c r="E46" s="466"/>
      <c r="F46" s="466"/>
      <c r="G46" s="466"/>
      <c r="H46" s="466"/>
      <c r="I46" s="467"/>
      <c r="J46" s="394"/>
    </row>
    <row r="47" spans="1:12" s="234" customFormat="1" ht="30" x14ac:dyDescent="0.25">
      <c r="A47" s="383">
        <v>1.33</v>
      </c>
      <c r="B47" s="383">
        <v>5.12</v>
      </c>
      <c r="C47" s="383">
        <v>4.0999999999999996</v>
      </c>
      <c r="D47" s="383">
        <v>73.52</v>
      </c>
      <c r="E47" s="382" t="s">
        <v>709</v>
      </c>
      <c r="F47" s="242" t="s">
        <v>710</v>
      </c>
      <c r="G47" s="211" t="str">
        <f>IFERROR(VLOOKUP(F47,[2]Реестр!A:K,2,0),"")</f>
        <v/>
      </c>
      <c r="H47" s="210">
        <v>80</v>
      </c>
      <c r="I47" s="230">
        <v>44.94</v>
      </c>
      <c r="J47" s="239" t="s">
        <v>538</v>
      </c>
    </row>
    <row r="48" spans="1:12" ht="18.75" x14ac:dyDescent="0.3">
      <c r="A48" s="263">
        <v>4.1100000000000003</v>
      </c>
      <c r="B48" s="263">
        <v>4.7699999999999996</v>
      </c>
      <c r="C48" s="263">
        <v>19.5</v>
      </c>
      <c r="D48" s="263">
        <v>143.13</v>
      </c>
      <c r="E48" s="242" t="s">
        <v>711</v>
      </c>
      <c r="F48" s="242" t="s">
        <v>716</v>
      </c>
      <c r="G48" s="211" t="str">
        <f>IFERROR(VLOOKUP(F48,[2]Реестр!A:K,2,0),"")</f>
        <v/>
      </c>
      <c r="H48" s="206">
        <v>250</v>
      </c>
      <c r="I48" s="207">
        <v>50</v>
      </c>
      <c r="J48" s="394" t="s">
        <v>478</v>
      </c>
    </row>
    <row r="49" spans="1:11" ht="18.75" x14ac:dyDescent="0.3">
      <c r="A49" s="263">
        <v>15.55</v>
      </c>
      <c r="B49" s="263">
        <v>15.4</v>
      </c>
      <c r="C49" s="263">
        <v>57.1</v>
      </c>
      <c r="D49" s="263">
        <v>364.2</v>
      </c>
      <c r="E49" s="242" t="s">
        <v>712</v>
      </c>
      <c r="F49" s="242" t="s">
        <v>713</v>
      </c>
      <c r="G49" s="211" t="str">
        <f>IFERROR(VLOOKUP(F49,[2]Реестр!A:K,2,0),"")</f>
        <v/>
      </c>
      <c r="H49" s="206">
        <v>200</v>
      </c>
      <c r="I49" s="206">
        <v>102.59</v>
      </c>
      <c r="J49" s="394" t="s">
        <v>537</v>
      </c>
    </row>
    <row r="50" spans="1:11" ht="18.75" x14ac:dyDescent="0.3">
      <c r="A50" s="263">
        <v>0.18</v>
      </c>
      <c r="B50" s="263">
        <v>0.05</v>
      </c>
      <c r="C50" s="263">
        <v>0.32</v>
      </c>
      <c r="D50" s="263">
        <v>37.582527999999996</v>
      </c>
      <c r="E50" s="242" t="s">
        <v>714</v>
      </c>
      <c r="F50" s="242" t="s">
        <v>328</v>
      </c>
      <c r="G50" s="211">
        <f>IFERROR(VLOOKUP(F50,[2]Реестр!A:K,2,0),"")</f>
        <v>200</v>
      </c>
      <c r="H50" s="206">
        <v>200</v>
      </c>
      <c r="I50" s="207">
        <v>19.54</v>
      </c>
      <c r="J50" s="394" t="s">
        <v>29</v>
      </c>
    </row>
    <row r="51" spans="1:11" ht="18.75" x14ac:dyDescent="0.3">
      <c r="A51" s="264">
        <v>3.3</v>
      </c>
      <c r="B51" s="264">
        <v>0.3</v>
      </c>
      <c r="C51" s="264">
        <v>23.4</v>
      </c>
      <c r="D51" s="264">
        <v>112</v>
      </c>
      <c r="E51" s="242" t="s">
        <v>471</v>
      </c>
      <c r="F51" s="242" t="s">
        <v>715</v>
      </c>
      <c r="G51" s="211" t="str">
        <f>IFERROR(VLOOKUP(F51,[2]Реестр!A:K,2,0),"")</f>
        <v/>
      </c>
      <c r="H51" s="206">
        <v>50</v>
      </c>
      <c r="I51" s="207">
        <v>4.5</v>
      </c>
      <c r="J51" s="394" t="s">
        <v>479</v>
      </c>
    </row>
    <row r="52" spans="1:11" ht="18.75" x14ac:dyDescent="0.3">
      <c r="A52" s="241">
        <v>2</v>
      </c>
      <c r="B52" s="241">
        <v>0.4</v>
      </c>
      <c r="C52" s="241">
        <v>10</v>
      </c>
      <c r="D52" s="241">
        <v>58</v>
      </c>
      <c r="E52" s="381" t="s">
        <v>471</v>
      </c>
      <c r="F52" s="381" t="s">
        <v>707</v>
      </c>
      <c r="G52" s="211" t="str">
        <f>IFERROR(VLOOKUP(F52,[2]Реестр!A:K,2,0),"")</f>
        <v/>
      </c>
      <c r="H52" s="206">
        <v>30</v>
      </c>
      <c r="I52" s="203">
        <v>2.7</v>
      </c>
      <c r="J52" s="394" t="s">
        <v>539</v>
      </c>
    </row>
    <row r="53" spans="1:11" ht="18.75" x14ac:dyDescent="0.3">
      <c r="A53" s="196"/>
      <c r="B53" s="196"/>
      <c r="C53" s="196"/>
      <c r="D53" s="196"/>
      <c r="E53" s="214"/>
      <c r="F53" s="204"/>
      <c r="G53" s="199"/>
      <c r="H53" s="200"/>
      <c r="I53" s="203"/>
      <c r="J53" s="394" t="s">
        <v>540</v>
      </c>
    </row>
    <row r="54" spans="1:11" ht="18.75" x14ac:dyDescent="0.3">
      <c r="A54" s="464" t="s">
        <v>16</v>
      </c>
      <c r="B54" s="464"/>
      <c r="C54" s="464"/>
      <c r="D54" s="464"/>
      <c r="E54" s="464"/>
      <c r="F54" s="464"/>
      <c r="G54" s="206"/>
      <c r="H54" s="206"/>
      <c r="I54" s="207">
        <f>SUM(I41:I45,I47:I53)</f>
        <v>373.78999999999996</v>
      </c>
      <c r="J54" s="206">
        <v>212.99</v>
      </c>
      <c r="K54" s="208">
        <f>I54-J54</f>
        <v>160.79999999999995</v>
      </c>
    </row>
    <row r="55" spans="1:11" ht="18.75" hidden="1" x14ac:dyDescent="0.3">
      <c r="A55" s="465" t="s">
        <v>33</v>
      </c>
      <c r="B55" s="466"/>
      <c r="C55" s="466"/>
      <c r="D55" s="466"/>
      <c r="E55" s="466"/>
      <c r="F55" s="466"/>
      <c r="G55" s="466"/>
      <c r="H55" s="466"/>
      <c r="I55" s="467"/>
      <c r="J55" s="394"/>
    </row>
    <row r="56" spans="1:11" ht="18.75" hidden="1" x14ac:dyDescent="0.3">
      <c r="A56" s="465" t="s">
        <v>19</v>
      </c>
      <c r="B56" s="466"/>
      <c r="C56" s="466"/>
      <c r="D56" s="466"/>
      <c r="E56" s="466"/>
      <c r="F56" s="466"/>
      <c r="G56" s="466"/>
      <c r="H56" s="466"/>
      <c r="I56" s="467"/>
      <c r="J56" s="394"/>
    </row>
    <row r="57" spans="1:11" ht="18.75" hidden="1" customHeight="1" x14ac:dyDescent="0.3">
      <c r="A57" s="209">
        <f>IFERROR(VLOOKUP(F57,[1]Реестр!A:K,3,0)*H57/G57,"")</f>
        <v>5.08</v>
      </c>
      <c r="B57" s="209">
        <f>IFERROR(VLOOKUP(F57,[1]Реестр!A:K,4,0)*H57/G57,"")</f>
        <v>11.55</v>
      </c>
      <c r="C57" s="209">
        <f>IFERROR(VLOOKUP(F57,[1]Реестр!A:K,5,0)*H57/G57,"")</f>
        <v>9.9700000000000006</v>
      </c>
      <c r="D57" s="209">
        <f>IFERROR(VLOOKUP(F57,[1]Реестр!A:K,6,0)*H57/G57,"")</f>
        <v>164.15</v>
      </c>
      <c r="E57" s="210" t="str">
        <f>IFERROR(VLOOKUP(F57,[1]Реестр!A:K,11,0),"")</f>
        <v>1*51</v>
      </c>
      <c r="F57" s="398" t="s">
        <v>91</v>
      </c>
      <c r="G57" s="211" t="str">
        <f>IFERROR(VLOOKUP(F57,[1]Реестр!A:K,2,0),"")</f>
        <v>45</v>
      </c>
      <c r="H57" s="206">
        <v>45</v>
      </c>
      <c r="I57" s="207">
        <v>57.2</v>
      </c>
      <c r="J57" s="394" t="s">
        <v>20</v>
      </c>
    </row>
    <row r="58" spans="1:11" ht="18.75" hidden="1" customHeight="1" x14ac:dyDescent="0.3">
      <c r="A58" s="347">
        <v>10.61</v>
      </c>
      <c r="B58" s="347">
        <v>10.17</v>
      </c>
      <c r="C58" s="347">
        <v>47.32</v>
      </c>
      <c r="D58" s="347">
        <v>321.17797790000003</v>
      </c>
      <c r="E58" s="349" t="str">
        <f>"2/57"</f>
        <v>2/57</v>
      </c>
      <c r="F58" s="349" t="s">
        <v>665</v>
      </c>
      <c r="G58" s="211" t="str">
        <f>IFERROR(VLOOKUP(F58,[1]Реестр!A:K,2,0),"")</f>
        <v/>
      </c>
      <c r="H58" s="210">
        <v>250</v>
      </c>
      <c r="I58" s="207">
        <v>61.16</v>
      </c>
      <c r="J58" s="394" t="s">
        <v>537</v>
      </c>
    </row>
    <row r="59" spans="1:11" ht="18.75" hidden="1" customHeight="1" x14ac:dyDescent="0.3">
      <c r="A59" s="209">
        <f>IFERROR(VLOOKUP(F59,[1]Реестр!A:K,3,0)*H59/G59,"")</f>
        <v>0.2</v>
      </c>
      <c r="B59" s="209">
        <f>IFERROR(VLOOKUP(F59,[1]Реестр!A:K,4,0)*H59/G59,"")</f>
        <v>0.12</v>
      </c>
      <c r="C59" s="209">
        <f>IFERROR(VLOOKUP(F59,[1]Реестр!A:K,5,0)*H59/G59,"")</f>
        <v>11.44</v>
      </c>
      <c r="D59" s="209">
        <f>IFERROR(VLOOKUP(F59,[1]Реестр!A:K,6,0)*H59/G59,"")</f>
        <v>46.4</v>
      </c>
      <c r="E59" s="210" t="str">
        <f>IFERROR(VLOOKUP(F59,[1]Реестр!A:K,11,0),"")</f>
        <v>12*2</v>
      </c>
      <c r="F59" s="398" t="s">
        <v>371</v>
      </c>
      <c r="G59" s="211" t="str">
        <f>IFERROR(VLOOKUP(F59,[1]Реестр!A:K,2,0),"")</f>
        <v>100</v>
      </c>
      <c r="H59" s="210">
        <v>40</v>
      </c>
      <c r="I59" s="207">
        <v>32.78</v>
      </c>
      <c r="J59" s="394" t="s">
        <v>477</v>
      </c>
    </row>
    <row r="60" spans="1:11" ht="18.75" hidden="1" customHeight="1" x14ac:dyDescent="0.3">
      <c r="A60" s="209">
        <f>IFERROR(VLOOKUP(F60,[1]Реестр!A:K,3,0)*H60/G60,"")</f>
        <v>1.4</v>
      </c>
      <c r="B60" s="209">
        <f>IFERROR(VLOOKUP(F60,[1]Реестр!A:K,4,0)*H60/G60,"")</f>
        <v>1.1000000000000001</v>
      </c>
      <c r="C60" s="209">
        <f>IFERROR(VLOOKUP(F60,[1]Реестр!A:K,5,0)*H60/G60,"")</f>
        <v>16.600000000000001</v>
      </c>
      <c r="D60" s="209">
        <f>IFERROR(VLOOKUP(F60,[1]Реестр!A:K,6,0)*H60/G60,"")</f>
        <v>79</v>
      </c>
      <c r="E60" s="349" t="str">
        <f>"11/59"</f>
        <v>11/59</v>
      </c>
      <c r="F60" s="349" t="s">
        <v>357</v>
      </c>
      <c r="G60" s="211" t="str">
        <f>IFERROR(VLOOKUP(F60,[1]Реестр!A:K,2,0),"")</f>
        <v>200</v>
      </c>
      <c r="H60" s="206">
        <v>200</v>
      </c>
      <c r="I60" s="207">
        <v>22.2</v>
      </c>
      <c r="J60" s="394" t="s">
        <v>541</v>
      </c>
      <c r="K60" s="237"/>
    </row>
    <row r="61" spans="1:11" ht="18.75" hidden="1" customHeight="1" x14ac:dyDescent="0.3">
      <c r="A61" s="209">
        <f>IFERROR(VLOOKUP(F61,[1]Реестр!A:K,3,0)*H61/G61,"")</f>
        <v>2.64</v>
      </c>
      <c r="B61" s="209">
        <f>IFERROR(VLOOKUP(F61,[1]Реестр!A:K,4,0)*H61/G61,"")</f>
        <v>0.48</v>
      </c>
      <c r="C61" s="209">
        <f>IFERROR(VLOOKUP(F61,[1]Реестр!A:K,5,0)*H61/G61,"")</f>
        <v>13.36</v>
      </c>
      <c r="D61" s="209">
        <f>IFERROR(VLOOKUP(F61,[1]Реестр!A:K,6,0)*H61/G61,"")</f>
        <v>77.2</v>
      </c>
      <c r="E61" s="210" t="str">
        <f>IFERROR(VLOOKUP(F61,[1]Реестр!A:K,11,0),"")</f>
        <v>-</v>
      </c>
      <c r="F61" s="217" t="s">
        <v>65</v>
      </c>
      <c r="G61" s="211" t="str">
        <f>IFERROR(VLOOKUP(F61,[1]Реестр!A:K,2,0),"")</f>
        <v>100</v>
      </c>
      <c r="H61" s="206">
        <v>40</v>
      </c>
      <c r="I61" s="207">
        <v>3.6</v>
      </c>
      <c r="J61" s="394" t="s">
        <v>475</v>
      </c>
      <c r="K61" s="237"/>
    </row>
    <row r="62" spans="1:11" ht="18.75" hidden="1" customHeight="1" x14ac:dyDescent="0.3">
      <c r="A62" s="465" t="s">
        <v>25</v>
      </c>
      <c r="B62" s="466"/>
      <c r="C62" s="466"/>
      <c r="D62" s="466"/>
      <c r="E62" s="466"/>
      <c r="F62" s="466"/>
      <c r="G62" s="466"/>
      <c r="H62" s="466"/>
      <c r="I62" s="467"/>
      <c r="J62" s="201" t="str">
        <f>IFERROR(VLOOKUP(O62,Реестр!#REF!,3,0)*Q62/P62,"")</f>
        <v/>
      </c>
      <c r="K62" s="237"/>
    </row>
    <row r="63" spans="1:11" s="234" customFormat="1" ht="31.5" hidden="1" customHeight="1" x14ac:dyDescent="0.25">
      <c r="A63" s="368">
        <v>1.29</v>
      </c>
      <c r="B63" s="368">
        <v>5.97</v>
      </c>
      <c r="C63" s="368">
        <v>7.97</v>
      </c>
      <c r="D63" s="368">
        <v>86.23</v>
      </c>
      <c r="E63" s="357" t="str">
        <f>"7/80"</f>
        <v>7/80</v>
      </c>
      <c r="F63" s="228" t="s">
        <v>680</v>
      </c>
      <c r="G63" s="211" t="str">
        <f>IFERROR(VLOOKUP(F63,[2]Реестр!A:K,2,0),"")</f>
        <v/>
      </c>
      <c r="H63" s="210">
        <v>100</v>
      </c>
      <c r="I63" s="230">
        <v>52.76</v>
      </c>
      <c r="J63" s="239" t="s">
        <v>538</v>
      </c>
      <c r="K63" s="240"/>
    </row>
    <row r="64" spans="1:11" ht="18.75" hidden="1" customHeight="1" x14ac:dyDescent="0.3">
      <c r="A64" s="209">
        <v>8.9166666666666661</v>
      </c>
      <c r="B64" s="209">
        <v>7.75</v>
      </c>
      <c r="C64" s="209">
        <v>19.5</v>
      </c>
      <c r="D64" s="209">
        <v>185</v>
      </c>
      <c r="E64" s="210" t="s">
        <v>213</v>
      </c>
      <c r="F64" s="398" t="s">
        <v>212</v>
      </c>
      <c r="G64" s="211" t="str">
        <f>IFERROR(VLOOKUP(F64,[2]Реестр!A:K,2,0),"")</f>
        <v>300</v>
      </c>
      <c r="H64" s="206">
        <v>250</v>
      </c>
      <c r="I64" s="207">
        <v>50</v>
      </c>
      <c r="J64" s="394" t="s">
        <v>478</v>
      </c>
      <c r="K64" s="237"/>
    </row>
    <row r="65" spans="1:12" ht="18.75" hidden="1" customHeight="1" x14ac:dyDescent="0.3">
      <c r="A65" s="348">
        <v>19.440000000000001</v>
      </c>
      <c r="B65" s="348">
        <v>21.37</v>
      </c>
      <c r="C65" s="348">
        <v>55.36</v>
      </c>
      <c r="D65" s="348">
        <v>508.5</v>
      </c>
      <c r="E65" s="349" t="str">
        <f>"8/35"</f>
        <v>8/35</v>
      </c>
      <c r="F65" s="349" t="s">
        <v>549</v>
      </c>
      <c r="G65" s="211" t="str">
        <f>IFERROR(VLOOKUP(F65,[2]Реестр!A:K,2,0),"")</f>
        <v/>
      </c>
      <c r="H65" s="206">
        <v>250</v>
      </c>
      <c r="I65" s="206">
        <v>140.84</v>
      </c>
      <c r="J65" s="394" t="s">
        <v>537</v>
      </c>
      <c r="K65" s="237"/>
    </row>
    <row r="66" spans="1:12" ht="18.75" hidden="1" customHeight="1" x14ac:dyDescent="0.3">
      <c r="A66" s="263">
        <v>0.14000000000000001</v>
      </c>
      <c r="B66" s="263">
        <v>0.1</v>
      </c>
      <c r="C66" s="263">
        <v>1.5</v>
      </c>
      <c r="D66" s="263">
        <v>83.962620000000015</v>
      </c>
      <c r="E66" s="349" t="str">
        <f>"11/1"</f>
        <v>11/1</v>
      </c>
      <c r="F66" s="349" t="s">
        <v>317</v>
      </c>
      <c r="G66" s="211">
        <f>IFERROR(VLOOKUP(F66,[2]Реестр!A:K,2,0),"")</f>
        <v>200</v>
      </c>
      <c r="H66" s="206">
        <v>200</v>
      </c>
      <c r="I66" s="207">
        <v>12.8</v>
      </c>
      <c r="J66" s="394" t="s">
        <v>29</v>
      </c>
      <c r="K66" s="237"/>
    </row>
    <row r="67" spans="1:12" ht="18.75" hidden="1" customHeight="1" x14ac:dyDescent="0.3">
      <c r="A67" s="209">
        <v>3.3</v>
      </c>
      <c r="B67" s="209">
        <v>0.3</v>
      </c>
      <c r="C67" s="209">
        <v>23.4</v>
      </c>
      <c r="D67" s="209">
        <v>112</v>
      </c>
      <c r="E67" s="210" t="s">
        <v>471</v>
      </c>
      <c r="F67" s="217" t="s">
        <v>66</v>
      </c>
      <c r="G67" s="211" t="str">
        <f>IFERROR(VLOOKUP(F67,[2]Реестр!A:K,2,0),"")</f>
        <v>100</v>
      </c>
      <c r="H67" s="206">
        <v>50</v>
      </c>
      <c r="I67" s="207">
        <v>4.5</v>
      </c>
      <c r="J67" s="394" t="s">
        <v>479</v>
      </c>
      <c r="K67" s="208"/>
    </row>
    <row r="68" spans="1:12" ht="18.75" hidden="1" customHeight="1" x14ac:dyDescent="0.3">
      <c r="A68" s="209">
        <v>3.3</v>
      </c>
      <c r="B68" s="209">
        <v>0.6</v>
      </c>
      <c r="C68" s="209">
        <v>16.7</v>
      </c>
      <c r="D68" s="209">
        <v>96.5</v>
      </c>
      <c r="E68" s="210" t="s">
        <v>471</v>
      </c>
      <c r="F68" s="217" t="s">
        <v>65</v>
      </c>
      <c r="G68" s="211" t="str">
        <f>IFERROR(VLOOKUP(F68,[2]Реестр!A:K,2,0),"")</f>
        <v>100</v>
      </c>
      <c r="H68" s="206">
        <v>50</v>
      </c>
      <c r="I68" s="207">
        <v>4.5</v>
      </c>
      <c r="J68" s="394" t="s">
        <v>23</v>
      </c>
    </row>
    <row r="69" spans="1:12" ht="18.75" hidden="1" customHeight="1" x14ac:dyDescent="0.3">
      <c r="A69" s="209"/>
      <c r="B69" s="209"/>
      <c r="C69" s="209"/>
      <c r="D69" s="209"/>
      <c r="E69" s="218"/>
      <c r="F69" s="217"/>
      <c r="G69" s="211"/>
      <c r="H69" s="206"/>
      <c r="I69" s="207"/>
      <c r="J69" s="394" t="s">
        <v>540</v>
      </c>
    </row>
    <row r="70" spans="1:12" ht="18" hidden="1" customHeight="1" x14ac:dyDescent="0.3">
      <c r="A70" s="464" t="s">
        <v>16</v>
      </c>
      <c r="B70" s="464"/>
      <c r="C70" s="464"/>
      <c r="D70" s="464"/>
      <c r="E70" s="464"/>
      <c r="F70" s="464"/>
      <c r="G70" s="206"/>
      <c r="H70" s="206"/>
      <c r="I70" s="207">
        <f>SUM(I57:I61)+SUM(I63:I69)</f>
        <v>442.33999999999992</v>
      </c>
      <c r="J70" s="201">
        <v>246.31</v>
      </c>
      <c r="K70" s="208">
        <f>J70-I70</f>
        <v>-196.02999999999992</v>
      </c>
    </row>
    <row r="71" spans="1:12" ht="18.75" hidden="1" x14ac:dyDescent="0.3">
      <c r="A71" s="465" t="s">
        <v>34</v>
      </c>
      <c r="B71" s="466"/>
      <c r="C71" s="466"/>
      <c r="D71" s="466"/>
      <c r="E71" s="466"/>
      <c r="F71" s="466"/>
      <c r="G71" s="466"/>
      <c r="H71" s="466"/>
      <c r="I71" s="467"/>
      <c r="J71" s="206"/>
      <c r="K71" s="208"/>
    </row>
    <row r="72" spans="1:12" ht="18.75" hidden="1" x14ac:dyDescent="0.25">
      <c r="A72" s="369">
        <v>0.24</v>
      </c>
      <c r="B72" s="369">
        <v>0.03</v>
      </c>
      <c r="C72" s="369">
        <v>0.74</v>
      </c>
      <c r="D72" s="369">
        <v>4.2</v>
      </c>
      <c r="E72" s="370" t="str">
        <f>"7/10"</f>
        <v>7/10</v>
      </c>
      <c r="F72" s="265" t="s">
        <v>679</v>
      </c>
      <c r="G72" s="211" t="str">
        <f>IFERROR(VLOOKUP(F72,[1]Реестр!A:K,2,0),"")</f>
        <v/>
      </c>
      <c r="H72" s="210">
        <v>30</v>
      </c>
      <c r="I72" s="230">
        <v>16.100000000000001</v>
      </c>
    </row>
    <row r="73" spans="1:12" ht="18.75" hidden="1" x14ac:dyDescent="0.3">
      <c r="A73" s="348">
        <v>19.440000000000001</v>
      </c>
      <c r="B73" s="348">
        <v>21.37</v>
      </c>
      <c r="C73" s="348">
        <v>55.36</v>
      </c>
      <c r="D73" s="348">
        <v>508.5</v>
      </c>
      <c r="E73" s="349" t="str">
        <f>"8/35"</f>
        <v>8/35</v>
      </c>
      <c r="F73" s="349" t="s">
        <v>549</v>
      </c>
      <c r="G73" s="211" t="str">
        <f>IFERROR(VLOOKUP(F73,[2]Реестр!A:K,2,0),"")</f>
        <v/>
      </c>
      <c r="H73" s="206">
        <v>250</v>
      </c>
      <c r="I73" s="206">
        <v>140.84</v>
      </c>
    </row>
    <row r="74" spans="1:12" ht="18.75" hidden="1" x14ac:dyDescent="0.3">
      <c r="A74" s="263">
        <v>0.14000000000000001</v>
      </c>
      <c r="B74" s="263">
        <v>0.1</v>
      </c>
      <c r="C74" s="263">
        <v>1.5</v>
      </c>
      <c r="D74" s="263">
        <v>83.962620000000015</v>
      </c>
      <c r="E74" s="349" t="str">
        <f>"11/1"</f>
        <v>11/1</v>
      </c>
      <c r="F74" s="349" t="s">
        <v>317</v>
      </c>
      <c r="G74" s="211">
        <f>IFERROR(VLOOKUP(F74,[2]Реестр!A:K,2,0),"")</f>
        <v>200</v>
      </c>
      <c r="H74" s="206">
        <v>200</v>
      </c>
      <c r="I74" s="207">
        <v>12.8</v>
      </c>
    </row>
    <row r="75" spans="1:12" ht="18.75" hidden="1" x14ac:dyDescent="0.3">
      <c r="A75" s="209">
        <v>2.64</v>
      </c>
      <c r="B75" s="209">
        <v>0.24</v>
      </c>
      <c r="C75" s="209">
        <v>18.72</v>
      </c>
      <c r="D75" s="209">
        <v>89.6</v>
      </c>
      <c r="E75" s="210" t="s">
        <v>471</v>
      </c>
      <c r="F75" s="217" t="s">
        <v>66</v>
      </c>
      <c r="G75" s="211" t="str">
        <f>IFERROR(VLOOKUP(F75,[2]Реестр!A:K,2,0),"")</f>
        <v>100</v>
      </c>
      <c r="H75" s="206">
        <v>40</v>
      </c>
      <c r="I75" s="207">
        <v>3.6</v>
      </c>
    </row>
    <row r="76" spans="1:12" ht="18.75" hidden="1" x14ac:dyDescent="0.3">
      <c r="A76" s="209">
        <v>2.64</v>
      </c>
      <c r="B76" s="209">
        <v>0.48</v>
      </c>
      <c r="C76" s="209">
        <v>13.36</v>
      </c>
      <c r="D76" s="209">
        <v>77.2</v>
      </c>
      <c r="E76" s="210" t="s">
        <v>471</v>
      </c>
      <c r="F76" s="217" t="s">
        <v>65</v>
      </c>
      <c r="G76" s="211" t="str">
        <f>IFERROR(VLOOKUP(F76,[2]Реестр!A:K,2,0),"")</f>
        <v>100</v>
      </c>
      <c r="H76" s="206">
        <v>40</v>
      </c>
      <c r="I76" s="207">
        <v>3.6</v>
      </c>
    </row>
    <row r="77" spans="1:12" ht="18.75" hidden="1" x14ac:dyDescent="0.3">
      <c r="A77" s="196"/>
      <c r="B77" s="196"/>
      <c r="C77" s="196"/>
      <c r="D77" s="196"/>
      <c r="E77" s="197"/>
      <c r="F77" s="204"/>
      <c r="G77" s="199"/>
      <c r="H77" s="200"/>
      <c r="I77" s="203"/>
    </row>
    <row r="78" spans="1:12" ht="18.75" hidden="1" x14ac:dyDescent="0.3">
      <c r="A78" s="453" t="s">
        <v>16</v>
      </c>
      <c r="B78" s="454"/>
      <c r="C78" s="454"/>
      <c r="D78" s="454"/>
      <c r="E78" s="454"/>
      <c r="F78" s="455"/>
      <c r="G78" s="205"/>
      <c r="H78" s="206"/>
      <c r="I78" s="207">
        <f>SUM(I72:I77)</f>
        <v>176.94</v>
      </c>
      <c r="J78" s="215">
        <v>98.52</v>
      </c>
      <c r="L78" s="208">
        <f>J78-I78</f>
        <v>-78.42</v>
      </c>
    </row>
    <row r="79" spans="1:12" ht="18.75" x14ac:dyDescent="0.25">
      <c r="A79" s="477" t="s">
        <v>35</v>
      </c>
      <c r="B79" s="478"/>
      <c r="C79" s="478"/>
      <c r="D79" s="478"/>
      <c r="E79" s="478"/>
      <c r="F79" s="478"/>
      <c r="G79" s="478"/>
      <c r="H79" s="478"/>
      <c r="I79" s="479"/>
    </row>
    <row r="80" spans="1:12" ht="18.75" x14ac:dyDescent="0.3">
      <c r="A80" s="219">
        <v>7.7</v>
      </c>
      <c r="B80" s="219">
        <v>7.42</v>
      </c>
      <c r="C80" s="219">
        <v>32.090000000000003</v>
      </c>
      <c r="D80" s="219">
        <v>225.88</v>
      </c>
      <c r="E80" s="416" t="s">
        <v>408</v>
      </c>
      <c r="F80" s="406" t="s">
        <v>529</v>
      </c>
      <c r="G80" s="211">
        <f>IFERROR(VLOOKUP(F80,[2]Реестр!A:K,2,0),"")</f>
        <v>100</v>
      </c>
      <c r="H80" s="206">
        <v>80</v>
      </c>
      <c r="I80" s="207">
        <v>50</v>
      </c>
      <c r="K80" s="208"/>
    </row>
    <row r="81" spans="1:12" ht="18.75" x14ac:dyDescent="0.3">
      <c r="A81" s="453" t="s">
        <v>16</v>
      </c>
      <c r="B81" s="454"/>
      <c r="C81" s="454"/>
      <c r="D81" s="454"/>
      <c r="E81" s="454"/>
      <c r="F81" s="455"/>
      <c r="G81" s="205"/>
      <c r="H81" s="206"/>
      <c r="I81" s="207">
        <f>I80</f>
        <v>50</v>
      </c>
      <c r="J81" s="215">
        <v>29</v>
      </c>
    </row>
    <row r="82" spans="1:12" ht="18.75" x14ac:dyDescent="0.3">
      <c r="A82" s="465" t="s">
        <v>36</v>
      </c>
      <c r="B82" s="466"/>
      <c r="C82" s="466"/>
      <c r="D82" s="466"/>
      <c r="E82" s="466"/>
      <c r="F82" s="466"/>
      <c r="G82" s="466"/>
      <c r="H82" s="466"/>
      <c r="I82" s="467"/>
    </row>
    <row r="83" spans="1:12" ht="18.75" x14ac:dyDescent="0.3">
      <c r="A83" s="263">
        <v>4.1100000000000003</v>
      </c>
      <c r="B83" s="263">
        <v>4.7699999999999996</v>
      </c>
      <c r="C83" s="263">
        <v>26.5</v>
      </c>
      <c r="D83" s="263">
        <v>213.5</v>
      </c>
      <c r="E83" s="242" t="s">
        <v>711</v>
      </c>
      <c r="F83" s="242" t="s">
        <v>716</v>
      </c>
      <c r="G83" s="211" t="str">
        <f>IFERROR(VLOOKUP(F83,[2]Реестр!A:K,2,0),"")</f>
        <v/>
      </c>
      <c r="H83" s="206">
        <v>250</v>
      </c>
      <c r="I83" s="207">
        <v>50</v>
      </c>
    </row>
    <row r="84" spans="1:12" ht="18.75" x14ac:dyDescent="0.3">
      <c r="A84" s="453" t="s">
        <v>16</v>
      </c>
      <c r="B84" s="454"/>
      <c r="C84" s="454"/>
      <c r="D84" s="454"/>
      <c r="E84" s="454"/>
      <c r="F84" s="455"/>
      <c r="G84" s="205"/>
      <c r="H84" s="206"/>
      <c r="I84" s="207">
        <f>SUM(I83:I83)</f>
        <v>50</v>
      </c>
      <c r="J84" s="215">
        <v>27</v>
      </c>
    </row>
    <row r="85" spans="1:12" ht="18.75" hidden="1" x14ac:dyDescent="0.3">
      <c r="A85" s="465" t="s">
        <v>503</v>
      </c>
      <c r="B85" s="466"/>
      <c r="C85" s="466"/>
      <c r="D85" s="466"/>
      <c r="E85" s="466"/>
      <c r="F85" s="466"/>
      <c r="G85" s="466"/>
      <c r="H85" s="466"/>
      <c r="I85" s="467"/>
    </row>
    <row r="86" spans="1:12" s="234" customFormat="1" ht="27" hidden="1" customHeight="1" x14ac:dyDescent="0.25">
      <c r="A86" s="368">
        <v>1.29</v>
      </c>
      <c r="B86" s="368">
        <v>5.97</v>
      </c>
      <c r="C86" s="368">
        <v>7.97</v>
      </c>
      <c r="D86" s="368">
        <v>86.23</v>
      </c>
      <c r="E86" s="357" t="str">
        <f>"7/80"</f>
        <v>7/80</v>
      </c>
      <c r="F86" s="228" t="s">
        <v>680</v>
      </c>
      <c r="G86" s="211" t="str">
        <f>IFERROR(VLOOKUP(F86,[2]Реестр!A:K,2,0),"")</f>
        <v/>
      </c>
      <c r="H86" s="210">
        <v>100</v>
      </c>
      <c r="I86" s="230">
        <v>52.76</v>
      </c>
      <c r="J86" s="268"/>
    </row>
    <row r="87" spans="1:12" ht="18.75" hidden="1" x14ac:dyDescent="0.3">
      <c r="A87" s="209">
        <v>8.9166666666666661</v>
      </c>
      <c r="B87" s="209">
        <v>7.75</v>
      </c>
      <c r="C87" s="209">
        <v>19.5</v>
      </c>
      <c r="D87" s="209">
        <v>185</v>
      </c>
      <c r="E87" s="210" t="s">
        <v>213</v>
      </c>
      <c r="F87" s="398" t="s">
        <v>212</v>
      </c>
      <c r="G87" s="211" t="str">
        <f>IFERROR(VLOOKUP(F87,[2]Реестр!A:K,2,0),"")</f>
        <v>300</v>
      </c>
      <c r="H87" s="206">
        <v>250</v>
      </c>
      <c r="I87" s="207">
        <v>50</v>
      </c>
    </row>
    <row r="88" spans="1:12" ht="18.75" hidden="1" x14ac:dyDescent="0.3">
      <c r="A88" s="348">
        <v>19.440000000000001</v>
      </c>
      <c r="B88" s="348">
        <v>21.37</v>
      </c>
      <c r="C88" s="348">
        <v>55.36</v>
      </c>
      <c r="D88" s="348">
        <v>508.5</v>
      </c>
      <c r="E88" s="349" t="str">
        <f>"8/35"</f>
        <v>8/35</v>
      </c>
      <c r="F88" s="349" t="s">
        <v>549</v>
      </c>
      <c r="G88" s="211" t="str">
        <f>IFERROR(VLOOKUP(F88,[2]Реестр!A:K,2,0),"")</f>
        <v/>
      </c>
      <c r="H88" s="206">
        <v>250</v>
      </c>
      <c r="I88" s="206">
        <v>140.84</v>
      </c>
    </row>
    <row r="89" spans="1:12" ht="18.75" hidden="1" x14ac:dyDescent="0.3">
      <c r="A89" s="263">
        <v>0.14000000000000001</v>
      </c>
      <c r="B89" s="263">
        <v>0.1</v>
      </c>
      <c r="C89" s="263">
        <v>1.5</v>
      </c>
      <c r="D89" s="263">
        <v>83.962620000000015</v>
      </c>
      <c r="E89" s="349" t="str">
        <f>"11/1"</f>
        <v>11/1</v>
      </c>
      <c r="F89" s="349" t="s">
        <v>317</v>
      </c>
      <c r="G89" s="211">
        <f>IFERROR(VLOOKUP(F89,[2]Реестр!A:K,2,0),"")</f>
        <v>200</v>
      </c>
      <c r="H89" s="206">
        <v>200</v>
      </c>
      <c r="I89" s="207">
        <v>12.8</v>
      </c>
    </row>
    <row r="90" spans="1:12" ht="18.75" hidden="1" x14ac:dyDescent="0.3">
      <c r="A90" s="209">
        <v>3.3</v>
      </c>
      <c r="B90" s="209">
        <v>0.3</v>
      </c>
      <c r="C90" s="209">
        <v>23.4</v>
      </c>
      <c r="D90" s="209">
        <v>112</v>
      </c>
      <c r="E90" s="210" t="s">
        <v>471</v>
      </c>
      <c r="F90" s="217" t="s">
        <v>66</v>
      </c>
      <c r="G90" s="211" t="str">
        <f>IFERROR(VLOOKUP(F90,[2]Реестр!A:K,2,0),"")</f>
        <v>100</v>
      </c>
      <c r="H90" s="206">
        <v>50</v>
      </c>
      <c r="I90" s="207">
        <v>4.5</v>
      </c>
    </row>
    <row r="91" spans="1:12" ht="18.75" hidden="1" x14ac:dyDescent="0.3">
      <c r="A91" s="209">
        <v>3.3</v>
      </c>
      <c r="B91" s="209">
        <v>0.6</v>
      </c>
      <c r="C91" s="209">
        <v>16.7</v>
      </c>
      <c r="D91" s="209">
        <v>96.5</v>
      </c>
      <c r="E91" s="210" t="s">
        <v>471</v>
      </c>
      <c r="F91" s="217" t="s">
        <v>65</v>
      </c>
      <c r="G91" s="211" t="str">
        <f>IFERROR(VLOOKUP(F91,[2]Реестр!A:K,2,0),"")</f>
        <v>100</v>
      </c>
      <c r="H91" s="206">
        <v>50</v>
      </c>
      <c r="I91" s="207">
        <v>4.5</v>
      </c>
    </row>
    <row r="92" spans="1:12" ht="18.75" hidden="1" x14ac:dyDescent="0.3">
      <c r="A92" s="196"/>
      <c r="B92" s="196"/>
      <c r="C92" s="196"/>
      <c r="D92" s="196"/>
      <c r="E92" s="214"/>
      <c r="F92" s="204"/>
      <c r="G92" s="199"/>
      <c r="H92" s="200"/>
      <c r="I92" s="203"/>
      <c r="K92" s="208"/>
    </row>
    <row r="93" spans="1:12" ht="18.75" hidden="1" x14ac:dyDescent="0.3">
      <c r="A93" s="464" t="s">
        <v>16</v>
      </c>
      <c r="B93" s="464"/>
      <c r="C93" s="464"/>
      <c r="D93" s="464"/>
      <c r="E93" s="464"/>
      <c r="F93" s="464"/>
      <c r="G93" s="205"/>
      <c r="H93" s="206"/>
      <c r="I93" s="207">
        <f>SUM(I86:I92)</f>
        <v>265.39999999999998</v>
      </c>
      <c r="J93" s="215">
        <v>147.79</v>
      </c>
      <c r="L93" s="208">
        <f>J93-I93</f>
        <v>-117.60999999999999</v>
      </c>
    </row>
    <row r="94" spans="1:12" ht="18.75" x14ac:dyDescent="0.3">
      <c r="A94" s="462" t="s">
        <v>544</v>
      </c>
      <c r="B94" s="462"/>
      <c r="C94" s="462"/>
      <c r="D94" s="462"/>
      <c r="E94" s="462"/>
      <c r="F94" s="462"/>
      <c r="G94" s="462"/>
      <c r="H94" s="462"/>
      <c r="I94" s="462"/>
      <c r="K94" s="208"/>
    </row>
    <row r="95" spans="1:12" ht="18.75" x14ac:dyDescent="0.25">
      <c r="A95" s="243">
        <v>3.76</v>
      </c>
      <c r="B95" s="243">
        <v>3.05</v>
      </c>
      <c r="C95" s="243">
        <v>13.8</v>
      </c>
      <c r="D95" s="243">
        <v>93.762559999999993</v>
      </c>
      <c r="E95" s="242" t="s">
        <v>732</v>
      </c>
      <c r="F95" s="387" t="s">
        <v>706</v>
      </c>
      <c r="G95" s="211" t="str">
        <f>IFERROR(VLOOKUP(F95,[1]Реестр!A:K,2,0),"")</f>
        <v/>
      </c>
      <c r="H95" s="243" t="s">
        <v>87</v>
      </c>
      <c r="I95" s="450">
        <v>149.52000000000001</v>
      </c>
      <c r="K95" s="208"/>
    </row>
    <row r="96" spans="1:12" ht="33.75" customHeight="1" x14ac:dyDescent="0.25">
      <c r="A96" s="243">
        <v>13.79</v>
      </c>
      <c r="B96" s="243">
        <v>20.23</v>
      </c>
      <c r="C96" s="243">
        <v>3.57</v>
      </c>
      <c r="D96" s="243">
        <v>251.02964924999998</v>
      </c>
      <c r="E96" s="242" t="s">
        <v>733</v>
      </c>
      <c r="F96" s="387" t="s">
        <v>705</v>
      </c>
      <c r="G96" s="211" t="str">
        <f>IFERROR(VLOOKUP(F96,[1]Реестр!A:K,2,0),"")</f>
        <v/>
      </c>
      <c r="H96" s="243" t="s">
        <v>147</v>
      </c>
      <c r="I96" s="451"/>
      <c r="K96" s="208"/>
    </row>
    <row r="97" spans="1:12" ht="18.75" x14ac:dyDescent="0.25">
      <c r="A97" s="243">
        <v>0.18</v>
      </c>
      <c r="B97" s="243">
        <v>0.04</v>
      </c>
      <c r="C97" s="243">
        <v>13.75</v>
      </c>
      <c r="D97" s="243">
        <v>53.136642799999997</v>
      </c>
      <c r="E97" s="242" t="s">
        <v>734</v>
      </c>
      <c r="F97" s="387" t="s">
        <v>632</v>
      </c>
      <c r="G97" s="211" t="str">
        <f>IFERROR(VLOOKUP(F97,[1]Реестр!A:K,2,0),"")</f>
        <v/>
      </c>
      <c r="H97" s="243" t="s">
        <v>118</v>
      </c>
      <c r="I97" s="451"/>
      <c r="K97" s="208"/>
    </row>
    <row r="98" spans="1:12" ht="18.75" x14ac:dyDescent="0.25">
      <c r="A98" s="241">
        <v>1.32</v>
      </c>
      <c r="B98" s="241">
        <v>0.24</v>
      </c>
      <c r="C98" s="241">
        <v>8.34</v>
      </c>
      <c r="D98" s="241">
        <v>38.676000000000002</v>
      </c>
      <c r="E98" s="381" t="str">
        <f>"-"</f>
        <v>-</v>
      </c>
      <c r="F98" s="381" t="s">
        <v>707</v>
      </c>
      <c r="G98" s="211" t="str">
        <f>IFERROR(VLOOKUP(F98,[1]Реестр!A:K,2,0),"")</f>
        <v/>
      </c>
      <c r="H98" s="264" t="str">
        <f>"20"</f>
        <v>20</v>
      </c>
      <c r="I98" s="451"/>
      <c r="K98" s="208"/>
    </row>
    <row r="99" spans="1:12" ht="18.75" x14ac:dyDescent="0.25">
      <c r="A99" s="241">
        <v>1.32</v>
      </c>
      <c r="B99" s="241">
        <v>0.24</v>
      </c>
      <c r="C99" s="241">
        <v>0</v>
      </c>
      <c r="D99" s="241">
        <v>38.676000000000002</v>
      </c>
      <c r="E99" s="381" t="s">
        <v>471</v>
      </c>
      <c r="F99" s="381" t="s">
        <v>708</v>
      </c>
      <c r="G99" s="211" t="str">
        <f>IFERROR(VLOOKUP(F99,[1]Реестр!A:K,2,0),"")</f>
        <v/>
      </c>
      <c r="H99" s="264" t="s">
        <v>735</v>
      </c>
      <c r="I99" s="452"/>
      <c r="K99" s="208"/>
    </row>
    <row r="100" spans="1:12" ht="18.75" x14ac:dyDescent="0.3">
      <c r="A100" s="464" t="s">
        <v>16</v>
      </c>
      <c r="B100" s="464"/>
      <c r="C100" s="464"/>
      <c r="D100" s="464"/>
      <c r="E100" s="464"/>
      <c r="F100" s="464"/>
      <c r="G100" s="205"/>
      <c r="H100" s="206"/>
      <c r="I100" s="207">
        <f>SUM(I95:I99)</f>
        <v>149.52000000000001</v>
      </c>
      <c r="K100" s="208"/>
    </row>
    <row r="101" spans="1:12" ht="18.75" x14ac:dyDescent="0.3">
      <c r="A101" s="462" t="s">
        <v>545</v>
      </c>
      <c r="B101" s="462"/>
      <c r="C101" s="462"/>
      <c r="D101" s="462"/>
      <c r="E101" s="462"/>
      <c r="F101" s="462"/>
      <c r="G101" s="462"/>
      <c r="H101" s="462"/>
      <c r="I101" s="462"/>
      <c r="J101" s="215">
        <v>85.2</v>
      </c>
      <c r="K101" s="208"/>
      <c r="L101" s="208">
        <f>J101-I101</f>
        <v>85.2</v>
      </c>
    </row>
    <row r="102" spans="1:12" ht="30" x14ac:dyDescent="0.25">
      <c r="A102" s="243">
        <v>17.96</v>
      </c>
      <c r="B102" s="243">
        <v>19.649999999999999</v>
      </c>
      <c r="C102" s="243">
        <v>1.04</v>
      </c>
      <c r="D102" s="243">
        <v>252.59813800000001</v>
      </c>
      <c r="E102" s="242" t="s">
        <v>740</v>
      </c>
      <c r="F102" s="242" t="s">
        <v>741</v>
      </c>
      <c r="G102" s="211" t="str">
        <f>IFERROR(VLOOKUP(F102,[1]Реестр!A:K,2,0),"")</f>
        <v>200</v>
      </c>
      <c r="H102" s="391">
        <v>150</v>
      </c>
      <c r="I102" s="450">
        <v>149.52000000000001</v>
      </c>
      <c r="K102" s="208"/>
    </row>
    <row r="103" spans="1:12" ht="29.25" customHeight="1" x14ac:dyDescent="0.25">
      <c r="A103" s="243">
        <v>0.18</v>
      </c>
      <c r="B103" s="243">
        <v>0.04</v>
      </c>
      <c r="C103" s="243">
        <v>13.75</v>
      </c>
      <c r="D103" s="243">
        <v>53.136642799999997</v>
      </c>
      <c r="E103" s="242" t="s">
        <v>742</v>
      </c>
      <c r="F103" s="242" t="s">
        <v>499</v>
      </c>
      <c r="G103" s="211" t="str">
        <f>IFERROR(VLOOKUP(F103,[1]Реестр!A:K,2,0),"")</f>
        <v>200</v>
      </c>
      <c r="H103" s="243" t="s">
        <v>118</v>
      </c>
      <c r="I103" s="451"/>
      <c r="K103" s="208"/>
    </row>
    <row r="104" spans="1:12" ht="18.75" x14ac:dyDescent="0.25">
      <c r="A104" s="241">
        <v>0.52</v>
      </c>
      <c r="B104" s="241">
        <v>0.52</v>
      </c>
      <c r="C104" s="241">
        <v>15.08</v>
      </c>
      <c r="D104" s="241">
        <v>63.283999999999985</v>
      </c>
      <c r="E104" s="242" t="s">
        <v>471</v>
      </c>
      <c r="F104" s="242" t="s">
        <v>708</v>
      </c>
      <c r="G104" s="211" t="str">
        <f>IFERROR(VLOOKUP(F104,[1]Реестр!A:K,2,0),"")</f>
        <v/>
      </c>
      <c r="H104" s="264" t="s">
        <v>735</v>
      </c>
      <c r="I104" s="451"/>
      <c r="K104" s="208"/>
    </row>
    <row r="105" spans="1:12" ht="18.75" x14ac:dyDescent="0.25">
      <c r="A105" s="241">
        <v>2.64</v>
      </c>
      <c r="B105" s="241">
        <v>0.48</v>
      </c>
      <c r="C105" s="241">
        <v>16.68</v>
      </c>
      <c r="D105" s="241">
        <v>77.352000000000004</v>
      </c>
      <c r="E105" s="242" t="s">
        <v>471</v>
      </c>
      <c r="F105" s="242" t="s">
        <v>715</v>
      </c>
      <c r="G105" s="211" t="str">
        <f>IFERROR(VLOOKUP(F105,[1]Реестр!A:K,2,0),"")</f>
        <v/>
      </c>
      <c r="H105" s="392">
        <v>40</v>
      </c>
      <c r="I105" s="451"/>
      <c r="K105" s="208"/>
    </row>
    <row r="106" spans="1:12" ht="18.75" x14ac:dyDescent="0.25">
      <c r="A106" s="241">
        <v>1.32</v>
      </c>
      <c r="B106" s="241">
        <v>0.24</v>
      </c>
      <c r="C106" s="241">
        <v>8.34</v>
      </c>
      <c r="D106" s="241">
        <v>38.676000000000002</v>
      </c>
      <c r="E106" s="381" t="str">
        <f>"-"</f>
        <v>-</v>
      </c>
      <c r="F106" s="381" t="s">
        <v>707</v>
      </c>
      <c r="G106" s="211" t="str">
        <f>IFERROR(VLOOKUP(F106,[1]Реестр!A:K,2,0),"")</f>
        <v/>
      </c>
      <c r="H106" s="264" t="str">
        <f>"20"</f>
        <v>20</v>
      </c>
      <c r="I106" s="451"/>
      <c r="K106" s="208"/>
    </row>
    <row r="107" spans="1:12" ht="18.75" x14ac:dyDescent="0.3">
      <c r="A107" s="209"/>
      <c r="B107" s="209"/>
      <c r="C107" s="209"/>
      <c r="D107" s="209"/>
      <c r="E107" s="210"/>
      <c r="F107" s="217"/>
      <c r="G107" s="211"/>
      <c r="H107" s="206"/>
      <c r="I107" s="452"/>
      <c r="K107" s="208"/>
    </row>
    <row r="108" spans="1:12" ht="18.75" x14ac:dyDescent="0.3">
      <c r="A108" s="464" t="s">
        <v>16</v>
      </c>
      <c r="B108" s="464"/>
      <c r="C108" s="464"/>
      <c r="D108" s="464"/>
      <c r="E108" s="464"/>
      <c r="F108" s="464"/>
      <c r="G108" s="205"/>
      <c r="H108" s="206"/>
      <c r="I108" s="207">
        <f>SUM(I102)</f>
        <v>149.52000000000001</v>
      </c>
      <c r="K108" s="208"/>
    </row>
    <row r="109" spans="1:12" ht="18.75" x14ac:dyDescent="0.3">
      <c r="A109" s="462" t="s">
        <v>566</v>
      </c>
      <c r="B109" s="462"/>
      <c r="C109" s="462"/>
      <c r="D109" s="462"/>
      <c r="E109" s="462"/>
      <c r="F109" s="462"/>
      <c r="G109" s="462"/>
      <c r="H109" s="462"/>
      <c r="I109" s="462"/>
      <c r="K109" s="208"/>
    </row>
    <row r="110" spans="1:12" ht="30" x14ac:dyDescent="0.25">
      <c r="A110" s="417">
        <v>0.7</v>
      </c>
      <c r="B110" s="243">
        <v>4.8099999999999996</v>
      </c>
      <c r="C110" s="243">
        <v>1.6</v>
      </c>
      <c r="D110" s="243">
        <v>57.718236800000007</v>
      </c>
      <c r="E110" s="242" t="str">
        <f>"7/13/1"</f>
        <v>7/13/1</v>
      </c>
      <c r="F110" s="242" t="s">
        <v>736</v>
      </c>
      <c r="G110" s="211" t="str">
        <f>IFERROR(VLOOKUP(F110,[2]Реестр!A:K,2,0),"")</f>
        <v/>
      </c>
      <c r="H110" s="263" t="s">
        <v>81</v>
      </c>
      <c r="I110" s="450">
        <v>224.27</v>
      </c>
      <c r="K110" s="208"/>
    </row>
    <row r="111" spans="1:12" ht="18.75" x14ac:dyDescent="0.25">
      <c r="A111" s="263">
        <v>4.1100000000000003</v>
      </c>
      <c r="B111" s="263">
        <v>4.7699999999999996</v>
      </c>
      <c r="C111" s="263">
        <v>39.56</v>
      </c>
      <c r="D111" s="263">
        <v>235.36</v>
      </c>
      <c r="E111" s="242" t="s">
        <v>711</v>
      </c>
      <c r="F111" s="242" t="s">
        <v>737</v>
      </c>
      <c r="G111" s="211" t="str">
        <f>IFERROR(VLOOKUP(F111,[2]Реестр!A:K,2,0),"")</f>
        <v/>
      </c>
      <c r="H111" s="243" t="str">
        <f>"250"</f>
        <v>250</v>
      </c>
      <c r="I111" s="451"/>
      <c r="K111" s="208"/>
    </row>
    <row r="112" spans="1:12" ht="18.75" x14ac:dyDescent="0.25">
      <c r="A112" s="263">
        <v>15.55</v>
      </c>
      <c r="B112" s="263">
        <v>15.9</v>
      </c>
      <c r="C112" s="263">
        <v>90.5</v>
      </c>
      <c r="D112" s="263">
        <v>408.6</v>
      </c>
      <c r="E112" s="242" t="s">
        <v>712</v>
      </c>
      <c r="F112" s="242" t="s">
        <v>713</v>
      </c>
      <c r="G112" s="211"/>
      <c r="H112" s="266">
        <v>200</v>
      </c>
      <c r="I112" s="451"/>
      <c r="K112" s="208"/>
    </row>
    <row r="113" spans="1:11" ht="18.75" x14ac:dyDescent="0.25">
      <c r="A113" s="263">
        <v>0.18</v>
      </c>
      <c r="B113" s="263">
        <v>0.05</v>
      </c>
      <c r="C113" s="263">
        <v>9.6300000000000008</v>
      </c>
      <c r="D113" s="263">
        <v>37.582527999999996</v>
      </c>
      <c r="E113" s="242" t="s">
        <v>738</v>
      </c>
      <c r="F113" s="242" t="s">
        <v>739</v>
      </c>
      <c r="G113" s="211"/>
      <c r="H113" s="263" t="s">
        <v>118</v>
      </c>
      <c r="I113" s="451"/>
      <c r="K113" s="208"/>
    </row>
    <row r="114" spans="1:11" ht="18.75" customHeight="1" x14ac:dyDescent="0.25">
      <c r="A114" s="241">
        <v>3.3</v>
      </c>
      <c r="B114" s="241">
        <v>0.6</v>
      </c>
      <c r="C114" s="241">
        <v>20.85</v>
      </c>
      <c r="D114" s="241">
        <v>96.69</v>
      </c>
      <c r="E114" s="242" t="str">
        <f>"-"</f>
        <v>-</v>
      </c>
      <c r="F114" s="242" t="s">
        <v>715</v>
      </c>
      <c r="G114" s="211"/>
      <c r="H114" s="264" t="str">
        <f>"40"</f>
        <v>40</v>
      </c>
      <c r="I114" s="451"/>
      <c r="K114" s="208"/>
    </row>
    <row r="115" spans="1:11" ht="18.75" x14ac:dyDescent="0.25">
      <c r="A115" s="264">
        <v>2.64</v>
      </c>
      <c r="B115" s="264">
        <v>0.48</v>
      </c>
      <c r="C115" s="264">
        <v>16.68</v>
      </c>
      <c r="D115" s="264">
        <v>77.352000000000004</v>
      </c>
      <c r="E115" s="381" t="str">
        <f>"-"</f>
        <v>-</v>
      </c>
      <c r="F115" s="381" t="s">
        <v>707</v>
      </c>
      <c r="G115" s="211" t="str">
        <f>IFERROR(VLOOKUP(F115,[2]Реестр!A:K,2,0),"")</f>
        <v/>
      </c>
      <c r="H115" s="264" t="str">
        <f>"40"</f>
        <v>40</v>
      </c>
      <c r="I115" s="451"/>
      <c r="K115" s="208"/>
    </row>
    <row r="116" spans="1:11" ht="18.75" x14ac:dyDescent="0.25">
      <c r="A116" s="241"/>
      <c r="B116" s="241"/>
      <c r="C116" s="241"/>
      <c r="D116" s="241"/>
      <c r="E116" s="265"/>
      <c r="F116" s="217"/>
      <c r="G116" s="211"/>
      <c r="H116" s="269"/>
      <c r="I116" s="451"/>
      <c r="K116" s="208"/>
    </row>
    <row r="117" spans="1:11" ht="18.75" x14ac:dyDescent="0.3">
      <c r="A117" s="464" t="s">
        <v>16</v>
      </c>
      <c r="B117" s="464"/>
      <c r="C117" s="464"/>
      <c r="D117" s="464"/>
      <c r="E117" s="464"/>
      <c r="F117" s="464"/>
      <c r="G117" s="205"/>
      <c r="H117" s="206"/>
      <c r="I117" s="207">
        <f>SUM(I110:I116)</f>
        <v>224.27</v>
      </c>
      <c r="K117" s="208"/>
    </row>
    <row r="118" spans="1:11" ht="18.75" x14ac:dyDescent="0.3">
      <c r="A118" s="462" t="s">
        <v>550</v>
      </c>
      <c r="B118" s="462"/>
      <c r="C118" s="462"/>
      <c r="D118" s="462"/>
      <c r="E118" s="462"/>
      <c r="F118" s="462"/>
      <c r="G118" s="462"/>
      <c r="H118" s="462"/>
      <c r="I118" s="462"/>
      <c r="K118" s="208"/>
    </row>
    <row r="119" spans="1:11" ht="30" x14ac:dyDescent="0.25">
      <c r="A119" s="417">
        <v>1.33</v>
      </c>
      <c r="B119" s="243">
        <v>5.12</v>
      </c>
      <c r="C119" s="243">
        <v>7.75</v>
      </c>
      <c r="D119" s="243">
        <v>73.52</v>
      </c>
      <c r="E119" s="242" t="s">
        <v>709</v>
      </c>
      <c r="F119" s="242" t="s">
        <v>710</v>
      </c>
      <c r="G119" s="211" t="str">
        <f>IFERROR(VLOOKUP(F119,[2]Реестр!A:K,2,0),"")</f>
        <v/>
      </c>
      <c r="H119" s="210">
        <v>80</v>
      </c>
      <c r="I119" s="450">
        <v>224.27</v>
      </c>
      <c r="K119" s="208"/>
    </row>
    <row r="120" spans="1:11" ht="18.75" x14ac:dyDescent="0.3">
      <c r="A120" s="263">
        <v>4.1100000000000003</v>
      </c>
      <c r="B120" s="263">
        <v>4.7699999999999996</v>
      </c>
      <c r="C120" s="263">
        <v>59.23</v>
      </c>
      <c r="D120" s="263">
        <v>143.13</v>
      </c>
      <c r="E120" s="242" t="str">
        <f>"6/65-1"</f>
        <v>6/65-1</v>
      </c>
      <c r="F120" s="242" t="s">
        <v>731</v>
      </c>
      <c r="G120" s="211" t="str">
        <f>IFERROR(VLOOKUP(F120,[2]Реестр!A:K,2,0),"")</f>
        <v/>
      </c>
      <c r="H120" s="206">
        <v>250</v>
      </c>
      <c r="I120" s="451"/>
      <c r="K120" s="208"/>
    </row>
    <row r="121" spans="1:11" ht="18.75" x14ac:dyDescent="0.3">
      <c r="A121" s="263">
        <v>15.55</v>
      </c>
      <c r="B121" s="263">
        <v>15.9</v>
      </c>
      <c r="C121" s="263">
        <v>90.5</v>
      </c>
      <c r="D121" s="263">
        <v>408.6</v>
      </c>
      <c r="E121" s="242" t="s">
        <v>712</v>
      </c>
      <c r="F121" s="242" t="s">
        <v>713</v>
      </c>
      <c r="G121" s="391">
        <v>200</v>
      </c>
      <c r="H121" s="206">
        <v>200</v>
      </c>
      <c r="I121" s="451"/>
      <c r="K121" s="208"/>
    </row>
    <row r="122" spans="1:11" ht="18.75" x14ac:dyDescent="0.3">
      <c r="A122" s="263">
        <v>0.18</v>
      </c>
      <c r="B122" s="263">
        <v>0.05</v>
      </c>
      <c r="C122" s="263">
        <v>0.32</v>
      </c>
      <c r="D122" s="263">
        <v>37.582527999999996</v>
      </c>
      <c r="E122" s="242" t="s">
        <v>714</v>
      </c>
      <c r="F122" s="242" t="s">
        <v>328</v>
      </c>
      <c r="G122" s="263" t="s">
        <v>118</v>
      </c>
      <c r="H122" s="206">
        <v>200</v>
      </c>
      <c r="I122" s="451"/>
      <c r="K122" s="208"/>
    </row>
    <row r="123" spans="1:11" ht="18.75" x14ac:dyDescent="0.3">
      <c r="A123" s="264">
        <v>2.64</v>
      </c>
      <c r="B123" s="264">
        <v>0.48</v>
      </c>
      <c r="C123" s="264">
        <v>16.68</v>
      </c>
      <c r="D123" s="264">
        <v>77.352000000000004</v>
      </c>
      <c r="E123" s="242" t="str">
        <f>"-"</f>
        <v>-</v>
      </c>
      <c r="F123" s="242" t="s">
        <v>715</v>
      </c>
      <c r="G123" s="392">
        <v>50</v>
      </c>
      <c r="H123" s="206">
        <v>40</v>
      </c>
      <c r="I123" s="451"/>
      <c r="K123" s="208"/>
    </row>
    <row r="124" spans="1:11" ht="18.75" x14ac:dyDescent="0.3">
      <c r="A124" s="264">
        <v>2.64</v>
      </c>
      <c r="B124" s="264">
        <v>0.48</v>
      </c>
      <c r="C124" s="264">
        <v>16.68</v>
      </c>
      <c r="D124" s="264">
        <v>77.352000000000004</v>
      </c>
      <c r="E124" s="381" t="str">
        <f>"-"</f>
        <v>-</v>
      </c>
      <c r="F124" s="381" t="s">
        <v>707</v>
      </c>
      <c r="G124" s="392">
        <v>30</v>
      </c>
      <c r="H124" s="206">
        <v>40</v>
      </c>
      <c r="I124" s="451"/>
      <c r="K124" s="208"/>
    </row>
    <row r="125" spans="1:11" ht="18.75" x14ac:dyDescent="0.25">
      <c r="A125" s="246"/>
      <c r="B125" s="246"/>
      <c r="C125" s="246"/>
      <c r="D125" s="246"/>
      <c r="E125" s="247"/>
      <c r="F125" s="204"/>
      <c r="G125" s="199"/>
      <c r="H125" s="246"/>
      <c r="I125" s="451"/>
      <c r="K125" s="208"/>
    </row>
    <row r="126" spans="1:11" ht="18.75" x14ac:dyDescent="0.3">
      <c r="A126" s="464" t="s">
        <v>16</v>
      </c>
      <c r="B126" s="464"/>
      <c r="C126" s="464"/>
      <c r="D126" s="464"/>
      <c r="E126" s="464"/>
      <c r="F126" s="464"/>
      <c r="G126" s="205"/>
      <c r="H126" s="206"/>
      <c r="I126" s="207">
        <f>SUM(I119)</f>
        <v>224.27</v>
      </c>
      <c r="K126" s="208"/>
    </row>
    <row r="127" spans="1:11" ht="18.75" x14ac:dyDescent="0.3">
      <c r="A127" s="462" t="s">
        <v>598</v>
      </c>
      <c r="B127" s="462"/>
      <c r="C127" s="462"/>
      <c r="D127" s="462"/>
      <c r="E127" s="462"/>
      <c r="F127" s="462"/>
      <c r="G127" s="462"/>
      <c r="H127" s="462"/>
      <c r="I127" s="462"/>
      <c r="K127" s="208"/>
    </row>
    <row r="128" spans="1:11" ht="18.75" x14ac:dyDescent="0.3">
      <c r="A128" s="219">
        <v>7.7</v>
      </c>
      <c r="B128" s="219">
        <v>7.42</v>
      </c>
      <c r="C128" s="219">
        <v>32.090000000000003</v>
      </c>
      <c r="D128" s="219">
        <v>225.88</v>
      </c>
      <c r="E128" s="416" t="s">
        <v>408</v>
      </c>
      <c r="F128" s="406" t="s">
        <v>529</v>
      </c>
      <c r="G128" s="211">
        <f>IFERROR(VLOOKUP(F128,[2]Реестр!A:K,2,0),"")</f>
        <v>100</v>
      </c>
      <c r="H128" s="206">
        <v>80</v>
      </c>
      <c r="I128" s="399">
        <v>50</v>
      </c>
      <c r="K128" s="208"/>
    </row>
    <row r="129" spans="1:11" ht="18.75" x14ac:dyDescent="0.3">
      <c r="A129" s="263">
        <v>3.94</v>
      </c>
      <c r="B129" s="263">
        <v>5.1100000000000003</v>
      </c>
      <c r="C129" s="263">
        <v>27.5</v>
      </c>
      <c r="D129" s="263">
        <v>170.19544859999999</v>
      </c>
      <c r="E129" s="242" t="s">
        <v>714</v>
      </c>
      <c r="F129" s="386" t="s">
        <v>328</v>
      </c>
      <c r="G129" s="211">
        <f>IFERROR(VLOOKUP(F129,[2]Реестр!A:K,2,0),"")</f>
        <v>200</v>
      </c>
      <c r="H129" s="206">
        <v>200</v>
      </c>
      <c r="I129" s="207">
        <v>19.54</v>
      </c>
      <c r="K129" s="208"/>
    </row>
    <row r="130" spans="1:11" ht="18.75" x14ac:dyDescent="0.3">
      <c r="A130" s="453" t="s">
        <v>16</v>
      </c>
      <c r="B130" s="454"/>
      <c r="C130" s="454"/>
      <c r="D130" s="454"/>
      <c r="E130" s="454"/>
      <c r="F130" s="455"/>
      <c r="G130" s="205"/>
      <c r="H130" s="206"/>
      <c r="I130" s="207">
        <f>SUM(I128:I129)</f>
        <v>69.539999999999992</v>
      </c>
      <c r="K130" s="208"/>
    </row>
    <row r="131" spans="1:11" ht="18.75" x14ac:dyDescent="0.3">
      <c r="A131" s="462" t="s">
        <v>599</v>
      </c>
      <c r="B131" s="462"/>
      <c r="C131" s="462"/>
      <c r="D131" s="462"/>
      <c r="E131" s="462"/>
      <c r="F131" s="462"/>
      <c r="G131" s="462"/>
      <c r="H131" s="462"/>
      <c r="I131" s="462"/>
      <c r="K131" s="208"/>
    </row>
    <row r="132" spans="1:11" ht="30" x14ac:dyDescent="0.25">
      <c r="A132" s="383">
        <v>1.33</v>
      </c>
      <c r="B132" s="383">
        <v>5.12</v>
      </c>
      <c r="C132" s="383">
        <v>4.0999999999999996</v>
      </c>
      <c r="D132" s="383">
        <v>73.52</v>
      </c>
      <c r="E132" s="382" t="s">
        <v>709</v>
      </c>
      <c r="F132" s="242" t="s">
        <v>710</v>
      </c>
      <c r="G132" s="211" t="str">
        <f>IFERROR(VLOOKUP(F132,[2]Реестр!A:K,2,0),"")</f>
        <v/>
      </c>
      <c r="H132" s="210">
        <v>80</v>
      </c>
      <c r="I132" s="230">
        <v>44.94</v>
      </c>
      <c r="K132" s="208"/>
    </row>
    <row r="133" spans="1:11" ht="18.75" x14ac:dyDescent="0.3">
      <c r="A133" s="263">
        <v>4.1100000000000003</v>
      </c>
      <c r="B133" s="263">
        <v>4.7699999999999996</v>
      </c>
      <c r="C133" s="263">
        <v>19.5</v>
      </c>
      <c r="D133" s="263">
        <v>143.13</v>
      </c>
      <c r="E133" s="242" t="s">
        <v>711</v>
      </c>
      <c r="F133" s="242" t="s">
        <v>716</v>
      </c>
      <c r="G133" s="211" t="str">
        <f>IFERROR(VLOOKUP(F133,[2]Реестр!A:K,2,0),"")</f>
        <v/>
      </c>
      <c r="H133" s="206">
        <v>250</v>
      </c>
      <c r="I133" s="207">
        <v>50</v>
      </c>
      <c r="K133" s="208"/>
    </row>
    <row r="134" spans="1:11" ht="18.75" x14ac:dyDescent="0.3">
      <c r="A134" s="263">
        <v>15.55</v>
      </c>
      <c r="B134" s="263">
        <v>15.4</v>
      </c>
      <c r="C134" s="263">
        <v>57.1</v>
      </c>
      <c r="D134" s="263">
        <v>364.2</v>
      </c>
      <c r="E134" s="242" t="s">
        <v>712</v>
      </c>
      <c r="F134" s="242" t="s">
        <v>713</v>
      </c>
      <c r="G134" s="211" t="str">
        <f>IFERROR(VLOOKUP(F134,[2]Реестр!A:K,2,0),"")</f>
        <v/>
      </c>
      <c r="H134" s="206">
        <v>200</v>
      </c>
      <c r="I134" s="206">
        <v>102.59</v>
      </c>
      <c r="K134" s="208"/>
    </row>
    <row r="135" spans="1:11" ht="18.75" x14ac:dyDescent="0.3">
      <c r="A135" s="263">
        <v>0.18</v>
      </c>
      <c r="B135" s="263">
        <v>0.05</v>
      </c>
      <c r="C135" s="263">
        <v>0.32</v>
      </c>
      <c r="D135" s="263">
        <v>37.582527999999996</v>
      </c>
      <c r="E135" s="242" t="s">
        <v>714</v>
      </c>
      <c r="F135" s="242" t="s">
        <v>328</v>
      </c>
      <c r="G135" s="211">
        <f>IFERROR(VLOOKUP(F135,[2]Реестр!A:K,2,0),"")</f>
        <v>200</v>
      </c>
      <c r="H135" s="206">
        <v>200</v>
      </c>
      <c r="I135" s="207">
        <v>19.54</v>
      </c>
      <c r="K135" s="208"/>
    </row>
    <row r="136" spans="1:11" ht="18.75" x14ac:dyDescent="0.3">
      <c r="A136" s="264">
        <v>3.3</v>
      </c>
      <c r="B136" s="264">
        <v>0.3</v>
      </c>
      <c r="C136" s="264">
        <v>23.4</v>
      </c>
      <c r="D136" s="264">
        <v>112</v>
      </c>
      <c r="E136" s="242" t="s">
        <v>471</v>
      </c>
      <c r="F136" s="242" t="s">
        <v>715</v>
      </c>
      <c r="G136" s="211" t="str">
        <f>IFERROR(VLOOKUP(F136,[2]Реестр!A:K,2,0),"")</f>
        <v/>
      </c>
      <c r="H136" s="206">
        <v>50</v>
      </c>
      <c r="I136" s="207">
        <v>4.5</v>
      </c>
      <c r="K136" s="208"/>
    </row>
    <row r="137" spans="1:11" ht="18.75" x14ac:dyDescent="0.3">
      <c r="A137" s="241">
        <v>2</v>
      </c>
      <c r="B137" s="241">
        <v>0.4</v>
      </c>
      <c r="C137" s="241">
        <v>10</v>
      </c>
      <c r="D137" s="241">
        <v>58</v>
      </c>
      <c r="E137" s="381" t="s">
        <v>471</v>
      </c>
      <c r="F137" s="381" t="s">
        <v>707</v>
      </c>
      <c r="G137" s="211" t="str">
        <f>IFERROR(VLOOKUP(F137,[2]Реестр!A:K,2,0),"")</f>
        <v/>
      </c>
      <c r="H137" s="206">
        <v>30</v>
      </c>
      <c r="I137" s="203">
        <v>2.7</v>
      </c>
      <c r="K137" s="208"/>
    </row>
    <row r="138" spans="1:11" ht="18.75" x14ac:dyDescent="0.3">
      <c r="A138" s="196"/>
      <c r="B138" s="196"/>
      <c r="C138" s="196"/>
      <c r="D138" s="196"/>
      <c r="E138" s="214"/>
      <c r="F138" s="204"/>
      <c r="G138" s="199"/>
      <c r="H138" s="200"/>
      <c r="I138" s="203"/>
      <c r="K138" s="208"/>
    </row>
    <row r="139" spans="1:11" ht="18.75" x14ac:dyDescent="0.3">
      <c r="A139" s="464" t="s">
        <v>16</v>
      </c>
      <c r="B139" s="464"/>
      <c r="C139" s="464"/>
      <c r="D139" s="464"/>
      <c r="E139" s="464"/>
      <c r="F139" s="464"/>
      <c r="G139" s="205"/>
      <c r="H139" s="206"/>
      <c r="I139" s="207">
        <f>SUM(I132:I138)</f>
        <v>224.26999999999998</v>
      </c>
      <c r="K139" s="208"/>
    </row>
    <row r="140" spans="1:11" ht="18.75" x14ac:dyDescent="0.3">
      <c r="A140" s="481" t="s">
        <v>677</v>
      </c>
      <c r="B140" s="482"/>
      <c r="C140" s="482"/>
      <c r="D140" s="482"/>
      <c r="E140" s="482"/>
      <c r="F140" s="482"/>
      <c r="G140" s="482"/>
      <c r="H140" s="482"/>
      <c r="I140" s="483"/>
      <c r="K140" s="208"/>
    </row>
    <row r="141" spans="1:11" ht="18.75" x14ac:dyDescent="0.3">
      <c r="A141" s="263">
        <v>5.55</v>
      </c>
      <c r="B141" s="263">
        <v>7.8</v>
      </c>
      <c r="C141" s="263">
        <v>15.95</v>
      </c>
      <c r="D141" s="263">
        <v>199.78905478333331</v>
      </c>
      <c r="E141" s="242" t="s">
        <v>711</v>
      </c>
      <c r="F141" s="242" t="s">
        <v>716</v>
      </c>
      <c r="G141" s="206">
        <v>200</v>
      </c>
      <c r="H141" s="206">
        <v>200</v>
      </c>
      <c r="I141" s="450">
        <v>130.88</v>
      </c>
      <c r="K141" s="208"/>
    </row>
    <row r="142" spans="1:11" ht="18.75" x14ac:dyDescent="0.3">
      <c r="A142" s="263">
        <v>16.579999999999998</v>
      </c>
      <c r="B142" s="263">
        <v>19.5</v>
      </c>
      <c r="C142" s="263">
        <v>68.38</v>
      </c>
      <c r="D142" s="263">
        <v>327.07</v>
      </c>
      <c r="E142" s="242" t="s">
        <v>712</v>
      </c>
      <c r="F142" s="242" t="s">
        <v>713</v>
      </c>
      <c r="G142" s="206">
        <v>200</v>
      </c>
      <c r="H142" s="206">
        <v>200</v>
      </c>
      <c r="I142" s="451"/>
      <c r="K142" s="208"/>
    </row>
    <row r="143" spans="1:11" ht="18.75" x14ac:dyDescent="0.3">
      <c r="A143" s="263">
        <v>0.14000000000000001</v>
      </c>
      <c r="B143" s="263">
        <v>0.1</v>
      </c>
      <c r="C143" s="263">
        <v>1.5</v>
      </c>
      <c r="D143" s="263">
        <v>83.962620000000015</v>
      </c>
      <c r="E143" s="242" t="s">
        <v>714</v>
      </c>
      <c r="F143" s="242" t="s">
        <v>328</v>
      </c>
      <c r="G143" s="206">
        <v>200</v>
      </c>
      <c r="H143" s="206">
        <v>200</v>
      </c>
      <c r="I143" s="451"/>
      <c r="K143" s="208"/>
    </row>
    <row r="144" spans="1:11" ht="18.75" x14ac:dyDescent="0.3">
      <c r="A144" s="209">
        <v>2.64</v>
      </c>
      <c r="B144" s="209">
        <v>0.24</v>
      </c>
      <c r="C144" s="209">
        <v>18.72</v>
      </c>
      <c r="D144" s="209">
        <v>89.6</v>
      </c>
      <c r="E144" s="405" t="s">
        <v>471</v>
      </c>
      <c r="F144" s="408" t="s">
        <v>66</v>
      </c>
      <c r="G144" s="206">
        <v>40</v>
      </c>
      <c r="H144" s="206">
        <v>40</v>
      </c>
      <c r="I144" s="451"/>
      <c r="K144" s="208"/>
    </row>
    <row r="145" spans="1:11" ht="18.75" x14ac:dyDescent="0.3">
      <c r="A145" s="209">
        <v>2.64</v>
      </c>
      <c r="B145" s="209">
        <v>0.48</v>
      </c>
      <c r="C145" s="209">
        <v>13.36</v>
      </c>
      <c r="D145" s="209">
        <v>77.2</v>
      </c>
      <c r="E145" s="405" t="s">
        <v>471</v>
      </c>
      <c r="F145" s="408" t="s">
        <v>65</v>
      </c>
      <c r="G145" s="206">
        <v>40</v>
      </c>
      <c r="H145" s="206">
        <v>40</v>
      </c>
      <c r="I145" s="452"/>
      <c r="K145" s="208"/>
    </row>
    <row r="146" spans="1:11" ht="18.75" x14ac:dyDescent="0.3">
      <c r="A146" s="453" t="s">
        <v>16</v>
      </c>
      <c r="B146" s="454"/>
      <c r="C146" s="454"/>
      <c r="D146" s="454"/>
      <c r="E146" s="454"/>
      <c r="F146" s="455"/>
      <c r="G146" s="205"/>
      <c r="H146" s="206"/>
      <c r="I146" s="207">
        <f>SUM(I141:I145)</f>
        <v>130.88</v>
      </c>
      <c r="K146" s="208"/>
    </row>
    <row r="147" spans="1:11" ht="18.75" x14ac:dyDescent="0.3">
      <c r="A147" s="462" t="s">
        <v>749</v>
      </c>
      <c r="B147" s="462"/>
      <c r="C147" s="462"/>
      <c r="D147" s="462"/>
      <c r="E147" s="462"/>
      <c r="F147" s="462"/>
      <c r="G147" s="462"/>
      <c r="H147" s="462"/>
      <c r="I147" s="462"/>
      <c r="K147" s="208"/>
    </row>
    <row r="148" spans="1:11" ht="18.75" x14ac:dyDescent="0.3">
      <c r="A148" s="219">
        <v>7.7</v>
      </c>
      <c r="B148" s="219">
        <v>7.42</v>
      </c>
      <c r="C148" s="219">
        <v>32.090000000000003</v>
      </c>
      <c r="D148" s="219">
        <v>225.88</v>
      </c>
      <c r="E148" s="416" t="s">
        <v>408</v>
      </c>
      <c r="F148" s="406" t="s">
        <v>529</v>
      </c>
      <c r="G148" s="211">
        <f>IFERROR(VLOOKUP(F148,[2]Реестр!A:K,2,0),"")</f>
        <v>100</v>
      </c>
      <c r="H148" s="206">
        <v>80</v>
      </c>
      <c r="I148" s="428">
        <v>50</v>
      </c>
      <c r="K148" s="208"/>
    </row>
    <row r="149" spans="1:11" ht="18.75" x14ac:dyDescent="0.3">
      <c r="A149" s="263">
        <v>3.94</v>
      </c>
      <c r="B149" s="263">
        <v>5.1100000000000003</v>
      </c>
      <c r="C149" s="263">
        <v>27.5</v>
      </c>
      <c r="D149" s="263">
        <v>170.19544859999999</v>
      </c>
      <c r="E149" s="242" t="s">
        <v>714</v>
      </c>
      <c r="F149" s="386" t="s">
        <v>328</v>
      </c>
      <c r="G149" s="211">
        <f>IFERROR(VLOOKUP(F149,[2]Реестр!A:K,2,0),"")</f>
        <v>200</v>
      </c>
      <c r="H149" s="206">
        <v>200</v>
      </c>
      <c r="I149" s="207">
        <v>19.54</v>
      </c>
      <c r="K149" s="208"/>
    </row>
    <row r="150" spans="1:11" ht="18.75" x14ac:dyDescent="0.3">
      <c r="A150" s="464" t="s">
        <v>16</v>
      </c>
      <c r="B150" s="464"/>
      <c r="C150" s="464"/>
      <c r="D150" s="464"/>
      <c r="E150" s="464"/>
      <c r="F150" s="464"/>
      <c r="G150" s="205"/>
      <c r="H150" s="206"/>
      <c r="I150" s="207">
        <f>SUM(I148:I149)</f>
        <v>69.539999999999992</v>
      </c>
      <c r="K150" s="208"/>
    </row>
    <row r="152" spans="1:11" s="215" customFormat="1" ht="18.75" x14ac:dyDescent="0.3">
      <c r="B152" s="252"/>
      <c r="C152" s="253"/>
      <c r="D152" s="253"/>
      <c r="E152" s="253"/>
      <c r="F152" s="254" t="s">
        <v>37</v>
      </c>
      <c r="G152" s="270"/>
      <c r="H152" s="257"/>
      <c r="I152" s="258" t="s">
        <v>583</v>
      </c>
      <c r="K152" s="202"/>
    </row>
    <row r="153" spans="1:11" s="215" customFormat="1" ht="18.75" x14ac:dyDescent="0.3">
      <c r="B153" s="252"/>
      <c r="C153" s="253"/>
      <c r="D153" s="253"/>
      <c r="E153" s="253"/>
      <c r="F153" s="254"/>
      <c r="G153" s="270"/>
      <c r="H153" s="418"/>
      <c r="I153" s="258"/>
      <c r="K153" s="202"/>
    </row>
    <row r="154" spans="1:11" x14ac:dyDescent="0.25">
      <c r="H154" s="414" t="s">
        <v>699</v>
      </c>
    </row>
  </sheetData>
  <autoFilter ref="A4:I93" xr:uid="{00000000-0009-0000-0000-000009000000}"/>
  <mergeCells count="59">
    <mergeCell ref="A22:I22"/>
    <mergeCell ref="A29:F29"/>
    <mergeCell ref="A30:I30"/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  <mergeCell ref="J4:J5"/>
    <mergeCell ref="A6:I6"/>
    <mergeCell ref="A12:F12"/>
    <mergeCell ref="A13:I13"/>
    <mergeCell ref="G4:G5"/>
    <mergeCell ref="H4:H5"/>
    <mergeCell ref="A38:F38"/>
    <mergeCell ref="A39:I3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A40:I40"/>
    <mergeCell ref="A85:I85"/>
    <mergeCell ref="A93:F93"/>
    <mergeCell ref="A94:I94"/>
    <mergeCell ref="I95:I99"/>
    <mergeCell ref="A109:I109"/>
    <mergeCell ref="I110:I116"/>
    <mergeCell ref="A100:F100"/>
    <mergeCell ref="A101:I101"/>
    <mergeCell ref="I102:I107"/>
    <mergeCell ref="A108:F108"/>
    <mergeCell ref="A147:I147"/>
    <mergeCell ref="A150:F150"/>
    <mergeCell ref="A117:F117"/>
    <mergeCell ref="A118:I118"/>
    <mergeCell ref="I119:I125"/>
    <mergeCell ref="A140:I140"/>
    <mergeCell ref="I141:I145"/>
    <mergeCell ref="A146:F146"/>
    <mergeCell ref="A139:F139"/>
    <mergeCell ref="A126:F126"/>
    <mergeCell ref="A127:I127"/>
    <mergeCell ref="A130:F130"/>
    <mergeCell ref="A131:I131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2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900-000000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F116</xm:sqref>
        </x14:dataValidation>
        <x14:dataValidation type="list" allowBlank="1" showInputMessage="1" showErrorMessage="1" xr:uid="{00000000-0002-0000-0900-000001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F44 F105:F106 F91 F68 F76:F77 F10 F27:F28 F36 F124 F145 F19 F60:F61 F52 F98:F99 F137</xm:sqref>
        </x14:dataValidation>
        <x14:dataValidation type="list" allowBlank="1" showInputMessage="1" showErrorMessage="1" xr:uid="{00000000-0002-0000-09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F44 F105:F106 F91 F52 F76:F77 F145 F10 F27:F28 F36 F19 F68 F60:F61 F98:F99 F124 F137</xm:sqref>
        </x14:dataValidation>
        <x14:dataValidation type="list" allowBlank="1" showInputMessage="1" showErrorMessage="1" xr:uid="{00000000-0002-0000-0900-000003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F23 F80 F72 F128 F148</xm:sqref>
        </x14:dataValidation>
        <x14:dataValidation type="list" allowBlank="1" showInputMessage="1" showErrorMessage="1" xr:uid="{00000000-0002-0000-0900-000004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F144 F7 F25:F26 F34:F35 F18 F66:F67 F74:F75 F111 F107 F113 F122:F123 F41 F57:F59 F89:F90 F51 F95:F97 F102:F104 F136</xm:sqref>
        </x14:dataValidation>
        <x14:dataValidation type="list" allowBlank="1" showInputMessage="1" showErrorMessage="1" xr:uid="{00000000-0002-0000-0900-000006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F20 F115 F53 F37 F92 F69 F125 F138</xm:sqref>
        </x14:dataValidation>
        <x14:dataValidation type="list" allowBlank="1" showInputMessage="1" showErrorMessage="1" xr:uid="{00000000-0002-0000-0900-000007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F110 F119:F121 F24 F141 F31:F33 F15 F48 F73 F63:F65 F86:F88 F83 F112 F133</xm:sqref>
        </x14:dataValidation>
        <x14:dataValidation type="list" allowBlank="1" showInputMessage="1" showErrorMessage="1" xr:uid="{9E692778-7D4E-4175-8F50-1C467D4A13DA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F114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8">
    <pageSetUpPr fitToPage="1"/>
  </sheetPr>
  <dimension ref="A1:L169"/>
  <sheetViews>
    <sheetView view="pageBreakPreview" zoomScaleNormal="100" zoomScaleSheetLayoutView="100" workbookViewId="0">
      <selection activeCell="F7" sqref="F7"/>
    </sheetView>
  </sheetViews>
  <sheetFormatPr defaultRowHeight="15.75" x14ac:dyDescent="0.25"/>
  <cols>
    <col min="1" max="1" width="11.28515625" style="215" customWidth="1"/>
    <col min="2" max="2" width="11.28515625" style="252" customWidth="1"/>
    <col min="3" max="3" width="10.5703125" style="253" customWidth="1"/>
    <col min="4" max="4" width="10.28515625" style="253" customWidth="1"/>
    <col min="5" max="5" width="14" style="253" customWidth="1"/>
    <col min="6" max="6" width="57.85546875" style="253" customWidth="1"/>
    <col min="7" max="7" width="17.85546875" style="253" hidden="1" customWidth="1"/>
    <col min="8" max="9" width="15.5703125" style="253" customWidth="1"/>
    <col min="10" max="10" width="25.5703125" style="215" customWidth="1"/>
    <col min="11" max="1025" width="8.7109375" style="202" customWidth="1"/>
    <col min="1026" max="16384" width="9.140625" style="202"/>
  </cols>
  <sheetData>
    <row r="1" spans="1:12" s="234" customFormat="1" ht="29.25" customHeight="1" x14ac:dyDescent="0.25">
      <c r="A1" s="468" t="s">
        <v>0</v>
      </c>
      <c r="B1" s="468"/>
      <c r="C1" s="235"/>
      <c r="D1" s="235"/>
      <c r="E1" s="235"/>
      <c r="F1" s="231" t="s">
        <v>1</v>
      </c>
      <c r="G1" s="231"/>
      <c r="H1" s="439" t="s">
        <v>0</v>
      </c>
      <c r="I1" s="439"/>
    </row>
    <row r="2" spans="1:12" s="234" customFormat="1" ht="29.25" customHeight="1" x14ac:dyDescent="0.25">
      <c r="A2" s="235" t="s">
        <v>2</v>
      </c>
      <c r="B2" s="235"/>
      <c r="C2" s="259"/>
      <c r="D2" s="259"/>
      <c r="E2" s="259"/>
      <c r="F2" s="231" t="s">
        <v>585</v>
      </c>
      <c r="G2" s="231"/>
      <c r="H2" s="487" t="s">
        <v>704</v>
      </c>
      <c r="I2" s="487"/>
      <c r="J2" s="235"/>
    </row>
    <row r="3" spans="1:12" s="234" customFormat="1" ht="29.25" customHeight="1" x14ac:dyDescent="0.25">
      <c r="A3" s="437" t="s">
        <v>522</v>
      </c>
      <c r="B3" s="437"/>
      <c r="C3" s="437"/>
      <c r="D3" s="438"/>
      <c r="E3" s="438"/>
      <c r="F3" s="231" t="s">
        <v>748</v>
      </c>
      <c r="G3" s="231"/>
      <c r="H3" s="470" t="s">
        <v>747</v>
      </c>
      <c r="I3" s="470"/>
    </row>
    <row r="4" spans="1:12" ht="15" customHeight="1" x14ac:dyDescent="0.25">
      <c r="A4" s="472" t="s">
        <v>4</v>
      </c>
      <c r="B4" s="472"/>
      <c r="C4" s="472"/>
      <c r="D4" s="471" t="s">
        <v>5</v>
      </c>
      <c r="E4" s="471" t="s">
        <v>6</v>
      </c>
      <c r="F4" s="471" t="s">
        <v>7</v>
      </c>
      <c r="G4" s="473" t="s">
        <v>8</v>
      </c>
      <c r="H4" s="471" t="s">
        <v>9</v>
      </c>
      <c r="I4" s="471" t="s">
        <v>10</v>
      </c>
      <c r="J4" s="471" t="s">
        <v>11</v>
      </c>
    </row>
    <row r="5" spans="1:12" x14ac:dyDescent="0.25">
      <c r="A5" s="232" t="s">
        <v>12</v>
      </c>
      <c r="B5" s="232" t="s">
        <v>13</v>
      </c>
      <c r="C5" s="232" t="s">
        <v>14</v>
      </c>
      <c r="D5" s="471"/>
      <c r="E5" s="471"/>
      <c r="F5" s="471"/>
      <c r="G5" s="473"/>
      <c r="H5" s="471"/>
      <c r="I5" s="471"/>
      <c r="J5" s="471"/>
    </row>
    <row r="6" spans="1:12" ht="18" hidden="1" customHeight="1" x14ac:dyDescent="0.3">
      <c r="A6" s="462" t="s">
        <v>15</v>
      </c>
      <c r="B6" s="462"/>
      <c r="C6" s="462"/>
      <c r="D6" s="462"/>
      <c r="E6" s="462"/>
      <c r="F6" s="462"/>
      <c r="G6" s="462"/>
      <c r="H6" s="462"/>
      <c r="I6" s="462"/>
      <c r="J6" s="212"/>
    </row>
    <row r="7" spans="1:12" ht="18" hidden="1" customHeight="1" x14ac:dyDescent="0.3">
      <c r="A7" s="209">
        <f>IFERROR(VLOOKUP(F7,[1]Реестр!A:K,3,0)*H7/G7,"")</f>
        <v>3.84</v>
      </c>
      <c r="B7" s="209">
        <f>IFERROR(VLOOKUP(F7,[1]Реестр!A:K,4,0)*H7/G7,"")</f>
        <v>10.1</v>
      </c>
      <c r="C7" s="209">
        <f>IFERROR(VLOOKUP(F7,[1]Реестр!A:K,5,0)*H7/G7,"")</f>
        <v>9.77</v>
      </c>
      <c r="D7" s="209">
        <f>IFERROR(VLOOKUP(F7,[1]Реестр!A:K,6,0)*H7/G7,"")</f>
        <v>145.38300000000001</v>
      </c>
      <c r="E7" s="210" t="str">
        <f>IFERROR(VLOOKUP(F7,[1]Реестр!A:K,11,0),"")</f>
        <v>1*57</v>
      </c>
      <c r="F7" s="395" t="s">
        <v>106</v>
      </c>
      <c r="G7" s="211" t="str">
        <f>IFERROR(VLOOKUP(F7,[1]Реестр!A:K,2,0),"")</f>
        <v>40</v>
      </c>
      <c r="H7" s="210">
        <v>40</v>
      </c>
      <c r="I7" s="207">
        <v>49.55</v>
      </c>
      <c r="J7" s="201" t="str">
        <f>IFERROR(VLOOKUP(O7,Реестр!#REF!,3,0)*Q7/P7,"")</f>
        <v/>
      </c>
    </row>
    <row r="8" spans="1:12" ht="18" hidden="1" customHeight="1" x14ac:dyDescent="0.3">
      <c r="A8" s="209">
        <v>9.75</v>
      </c>
      <c r="B8" s="209">
        <v>12.14</v>
      </c>
      <c r="C8" s="209">
        <v>36.06</v>
      </c>
      <c r="D8" s="209">
        <v>291.64</v>
      </c>
      <c r="E8" s="349" t="str">
        <f>"2/57"</f>
        <v>2/57</v>
      </c>
      <c r="F8" s="349" t="s">
        <v>665</v>
      </c>
      <c r="G8" s="211" t="str">
        <f>IFERROR(VLOOKUP(F8,[1]Реестр!A:K,2,0),"")</f>
        <v/>
      </c>
      <c r="H8" s="210">
        <v>210</v>
      </c>
      <c r="I8" s="207">
        <v>51.38</v>
      </c>
      <c r="J8" s="201" t="str">
        <f>IFERROR(VLOOKUP(O8,Реестр!#REF!,3,0)*Q8/P8,"")</f>
        <v/>
      </c>
    </row>
    <row r="9" spans="1:12" ht="18" hidden="1" customHeight="1" x14ac:dyDescent="0.3">
      <c r="A9" s="209">
        <f>IFERROR(VLOOKUP(F9,[1]Реестр!A:K,3,0)*H9/G9,"")</f>
        <v>0.15</v>
      </c>
      <c r="B9" s="209">
        <f>IFERROR(VLOOKUP(F9,[1]Реестр!A:K,4,0)*H9/G9,"")</f>
        <v>0.09</v>
      </c>
      <c r="C9" s="209">
        <f>IFERROR(VLOOKUP(F9,[1]Реестр!A:K,5,0)*H9/G9,"")</f>
        <v>8.58</v>
      </c>
      <c r="D9" s="209">
        <f>IFERROR(VLOOKUP(F9,[1]Реестр!A:K,6,0)*H9/G9,"")</f>
        <v>34.799999999999997</v>
      </c>
      <c r="E9" s="210" t="str">
        <f>IFERROR(VLOOKUP(F9,[1]Реестр!A:K,11,0),"")</f>
        <v>12*2</v>
      </c>
      <c r="F9" s="398" t="s">
        <v>371</v>
      </c>
      <c r="G9" s="211" t="str">
        <f>IFERROR(VLOOKUP(F9,[1]Реестр!A:K,2,0),"")</f>
        <v>100</v>
      </c>
      <c r="H9" s="210">
        <v>30</v>
      </c>
      <c r="I9" s="207">
        <v>24.59</v>
      </c>
      <c r="J9" s="201" t="str">
        <f>IFERROR(VLOOKUP(O9,Реестр!#REF!,3,0)*Q9/P9,"")</f>
        <v/>
      </c>
    </row>
    <row r="10" spans="1:12" ht="18" hidden="1" customHeight="1" x14ac:dyDescent="0.3">
      <c r="A10" s="209">
        <f>IFERROR(VLOOKUP(F10,[1]Реестр!A:K,3,0)*H10/G10,"")</f>
        <v>1.4</v>
      </c>
      <c r="B10" s="209">
        <f>IFERROR(VLOOKUP(F10,[1]Реестр!A:K,4,0)*H10/G10,"")</f>
        <v>1.1000000000000001</v>
      </c>
      <c r="C10" s="209">
        <f>IFERROR(VLOOKUP(F10,[1]Реестр!A:K,5,0)*H10/G10,"")</f>
        <v>16.600000000000001</v>
      </c>
      <c r="D10" s="209">
        <f>IFERROR(VLOOKUP(F10,[1]Реестр!A:K,6,0)*H10/G10,"")</f>
        <v>79</v>
      </c>
      <c r="E10" s="349" t="str">
        <f>"11/59"</f>
        <v>11/59</v>
      </c>
      <c r="F10" s="349" t="s">
        <v>357</v>
      </c>
      <c r="G10" s="211" t="str">
        <f>IFERROR(VLOOKUP(F10,[1]Реестр!A:K,2,0),"")</f>
        <v>200</v>
      </c>
      <c r="H10" s="206">
        <v>200</v>
      </c>
      <c r="I10" s="207">
        <v>22.2</v>
      </c>
      <c r="J10" s="201" t="str">
        <f>IFERROR(VLOOKUP(O10,Реестр!#REF!,3,0)*Q10/P10,"")</f>
        <v/>
      </c>
    </row>
    <row r="11" spans="1:12" ht="18.75" hidden="1" x14ac:dyDescent="0.3">
      <c r="A11" s="209">
        <f>IFERROR(VLOOKUP(F11,[1]Реестр!A:K,3,0)*H11/G11,"")</f>
        <v>1.32</v>
      </c>
      <c r="B11" s="209">
        <f>IFERROR(VLOOKUP(F11,[1]Реестр!A:K,4,0)*H11/G11,"")</f>
        <v>0.24</v>
      </c>
      <c r="C11" s="209">
        <f>IFERROR(VLOOKUP(F11,[1]Реестр!A:K,5,0)*H11/G11,"")</f>
        <v>6.68</v>
      </c>
      <c r="D11" s="209">
        <f>IFERROR(VLOOKUP(F11,[1]Реестр!A:K,6,0)*H11/G11,"")</f>
        <v>38.6</v>
      </c>
      <c r="E11" s="210" t="str">
        <f>IFERROR(VLOOKUP(F11,[1]Реестр!A:K,11,0),"")</f>
        <v>-</v>
      </c>
      <c r="F11" s="217" t="s">
        <v>65</v>
      </c>
      <c r="G11" s="211" t="str">
        <f>IFERROR(VLOOKUP(F11,[1]Реестр!A:K,2,0),"")</f>
        <v>100</v>
      </c>
      <c r="H11" s="206">
        <v>20</v>
      </c>
      <c r="I11" s="207">
        <v>1.8</v>
      </c>
      <c r="J11" s="206"/>
      <c r="K11" s="208"/>
    </row>
    <row r="12" spans="1:12" ht="18" hidden="1" customHeight="1" x14ac:dyDescent="0.3">
      <c r="A12" s="464" t="s">
        <v>16</v>
      </c>
      <c r="B12" s="464"/>
      <c r="C12" s="464"/>
      <c r="D12" s="464"/>
      <c r="E12" s="464"/>
      <c r="F12" s="464"/>
      <c r="G12" s="205"/>
      <c r="H12" s="206"/>
      <c r="I12" s="207">
        <f>SUM(I7:I11)</f>
        <v>149.52000000000001</v>
      </c>
      <c r="J12" s="206">
        <v>85.2</v>
      </c>
      <c r="K12" s="208">
        <f>I12-J12</f>
        <v>64.320000000000007</v>
      </c>
      <c r="L12" s="208"/>
    </row>
    <row r="13" spans="1:12" ht="18" hidden="1" customHeight="1" x14ac:dyDescent="0.3">
      <c r="A13" s="462" t="s">
        <v>17</v>
      </c>
      <c r="B13" s="462"/>
      <c r="C13" s="462"/>
      <c r="D13" s="462"/>
      <c r="E13" s="462"/>
      <c r="F13" s="462"/>
      <c r="G13" s="462"/>
      <c r="H13" s="462"/>
      <c r="I13" s="462"/>
      <c r="J13" s="212"/>
    </row>
    <row r="14" spans="1:12" ht="30" hidden="1" x14ac:dyDescent="0.3">
      <c r="A14" s="367">
        <v>1.03</v>
      </c>
      <c r="B14" s="396">
        <v>4.7699999999999996</v>
      </c>
      <c r="C14" s="396">
        <v>6.38</v>
      </c>
      <c r="D14" s="396">
        <v>68.989999999999995</v>
      </c>
      <c r="E14" s="357" t="str">
        <f>"7/80"</f>
        <v>7/80</v>
      </c>
      <c r="F14" s="228" t="s">
        <v>678</v>
      </c>
      <c r="G14" s="211" t="str">
        <f>IFERROR(VLOOKUP(F14,[2]Реестр!A:K,2,0),"")</f>
        <v/>
      </c>
      <c r="H14" s="210">
        <v>80</v>
      </c>
      <c r="I14" s="230">
        <v>41.6</v>
      </c>
      <c r="J14" s="201" t="str">
        <f>IFERROR(VLOOKUP(O14,Реестр!#REF!,3,0)*Q14/P14,"")</f>
        <v/>
      </c>
    </row>
    <row r="15" spans="1:12" ht="18" hidden="1" customHeight="1" x14ac:dyDescent="0.3">
      <c r="A15" s="263">
        <v>5.55</v>
      </c>
      <c r="B15" s="263">
        <v>7.8</v>
      </c>
      <c r="C15" s="263">
        <v>15.95</v>
      </c>
      <c r="D15" s="263">
        <v>199.78905478333331</v>
      </c>
      <c r="E15" s="350" t="str">
        <f>"6/70"</f>
        <v>6/70</v>
      </c>
      <c r="F15" s="350" t="s">
        <v>220</v>
      </c>
      <c r="G15" s="211" t="str">
        <f>IFERROR(VLOOKUP(F15,[2]Реестр!A:K,2,0),"")</f>
        <v>300</v>
      </c>
      <c r="H15" s="206">
        <v>250</v>
      </c>
      <c r="I15" s="207">
        <v>50</v>
      </c>
      <c r="J15" s="201" t="str">
        <f>IFERROR(VLOOKUP(O15,Реестр!#REF!,3,0)*Q15/P15,"")</f>
        <v/>
      </c>
    </row>
    <row r="16" spans="1:12" ht="18" hidden="1" customHeight="1" x14ac:dyDescent="0.3">
      <c r="A16" s="263">
        <v>16.579999999999998</v>
      </c>
      <c r="B16" s="263">
        <v>19.5</v>
      </c>
      <c r="C16" s="263">
        <v>68.38</v>
      </c>
      <c r="D16" s="263">
        <v>327.07</v>
      </c>
      <c r="E16" s="349" t="str">
        <f>"8/35"</f>
        <v>8/35</v>
      </c>
      <c r="F16" s="349" t="s">
        <v>549</v>
      </c>
      <c r="G16" s="211" t="str">
        <f>IFERROR(VLOOKUP(F16,[2]Реестр!A:K,2,0),"")</f>
        <v/>
      </c>
      <c r="H16" s="206">
        <v>200</v>
      </c>
      <c r="I16" s="206">
        <v>112.67</v>
      </c>
      <c r="J16" s="201" t="str">
        <f>IFERROR(VLOOKUP(O16,Реестр!#REF!,3,0)*Q16/P16,"")</f>
        <v/>
      </c>
    </row>
    <row r="17" spans="1:12" ht="18" hidden="1" customHeight="1" x14ac:dyDescent="0.3">
      <c r="A17" s="263">
        <v>0.14000000000000001</v>
      </c>
      <c r="B17" s="263">
        <v>0.1</v>
      </c>
      <c r="C17" s="263">
        <v>1.5</v>
      </c>
      <c r="D17" s="263">
        <v>83.962620000000015</v>
      </c>
      <c r="E17" s="349" t="str">
        <f>"11/1"</f>
        <v>11/1</v>
      </c>
      <c r="F17" s="349" t="s">
        <v>317</v>
      </c>
      <c r="G17" s="211">
        <f>IFERROR(VLOOKUP(F17,[2]Реестр!A:K,2,0),"")</f>
        <v>200</v>
      </c>
      <c r="H17" s="206">
        <v>200</v>
      </c>
      <c r="I17" s="207">
        <v>12.8</v>
      </c>
      <c r="J17" s="201"/>
    </row>
    <row r="18" spans="1:12" ht="18" hidden="1" customHeight="1" x14ac:dyDescent="0.3">
      <c r="A18" s="209">
        <v>2.64</v>
      </c>
      <c r="B18" s="209">
        <v>0.24</v>
      </c>
      <c r="C18" s="209">
        <v>18.72</v>
      </c>
      <c r="D18" s="209">
        <v>89.6</v>
      </c>
      <c r="E18" s="210" t="s">
        <v>471</v>
      </c>
      <c r="F18" s="217" t="s">
        <v>66</v>
      </c>
      <c r="G18" s="211" t="str">
        <f>IFERROR(VLOOKUP(F18,[2]Реестр!A:K,2,0),"")</f>
        <v>100</v>
      </c>
      <c r="H18" s="206">
        <v>40</v>
      </c>
      <c r="I18" s="207">
        <v>3.6</v>
      </c>
      <c r="J18" s="201" t="str">
        <f>IFERROR(VLOOKUP(O18,Реестр!#REF!,3,0)*Q18/P18,"")</f>
        <v/>
      </c>
    </row>
    <row r="19" spans="1:12" ht="18" hidden="1" customHeight="1" x14ac:dyDescent="0.3">
      <c r="A19" s="209">
        <v>2.64</v>
      </c>
      <c r="B19" s="209">
        <v>0.48</v>
      </c>
      <c r="C19" s="209">
        <v>13.36</v>
      </c>
      <c r="D19" s="209">
        <v>77.2</v>
      </c>
      <c r="E19" s="210" t="s">
        <v>471</v>
      </c>
      <c r="F19" s="217" t="s">
        <v>65</v>
      </c>
      <c r="G19" s="211" t="str">
        <f>IFERROR(VLOOKUP(F19,[2]Реестр!A:K,2,0),"")</f>
        <v>100</v>
      </c>
      <c r="H19" s="206">
        <v>40</v>
      </c>
      <c r="I19" s="207">
        <v>3.6</v>
      </c>
      <c r="J19" s="201" t="str">
        <f>IFERROR(VLOOKUP(O19,Реестр!#REF!,3,0)*Q19/P19,"")</f>
        <v/>
      </c>
    </row>
    <row r="20" spans="1:12" ht="18" hidden="1" customHeight="1" x14ac:dyDescent="0.3">
      <c r="A20" s="196"/>
      <c r="B20" s="196"/>
      <c r="C20" s="196"/>
      <c r="D20" s="196"/>
      <c r="E20" s="214"/>
      <c r="F20" s="204"/>
      <c r="G20" s="199"/>
      <c r="H20" s="200"/>
      <c r="I20" s="203"/>
      <c r="J20" s="201"/>
    </row>
    <row r="21" spans="1:12" ht="18.75" hidden="1" x14ac:dyDescent="0.3">
      <c r="A21" s="464" t="s">
        <v>16</v>
      </c>
      <c r="B21" s="464"/>
      <c r="C21" s="464"/>
      <c r="D21" s="464"/>
      <c r="E21" s="464"/>
      <c r="F21" s="464"/>
      <c r="G21" s="205"/>
      <c r="H21" s="206"/>
      <c r="I21" s="207">
        <f>SUM(I14:I20)</f>
        <v>224.26999999999998</v>
      </c>
      <c r="J21" s="206">
        <v>127.79</v>
      </c>
      <c r="K21" s="208">
        <f>J21-I21</f>
        <v>-96.479999999999976</v>
      </c>
    </row>
    <row r="22" spans="1:12" ht="18.75" x14ac:dyDescent="0.3">
      <c r="A22" s="462" t="s">
        <v>500</v>
      </c>
      <c r="B22" s="462"/>
      <c r="C22" s="462"/>
      <c r="D22" s="462"/>
      <c r="E22" s="462"/>
      <c r="F22" s="462"/>
      <c r="G22" s="462"/>
      <c r="H22" s="462"/>
      <c r="I22" s="462"/>
      <c r="J22" s="212"/>
    </row>
    <row r="23" spans="1:12" ht="18.75" x14ac:dyDescent="0.25">
      <c r="A23" s="263">
        <v>0.48</v>
      </c>
      <c r="B23" s="263">
        <v>2.37</v>
      </c>
      <c r="C23" s="263">
        <v>3.09</v>
      </c>
      <c r="D23" s="263">
        <v>36.64</v>
      </c>
      <c r="E23" s="384" t="str">
        <f>"7/26"</f>
        <v>7/26</v>
      </c>
      <c r="F23" s="385" t="s">
        <v>717</v>
      </c>
      <c r="G23" s="211" t="str">
        <f>IFERROR(VLOOKUP(F23,[1]Реестр!A:K,2,0),"")</f>
        <v/>
      </c>
      <c r="H23" s="210">
        <v>30</v>
      </c>
      <c r="I23" s="230">
        <v>19.260000000000002</v>
      </c>
      <c r="J23" s="212"/>
    </row>
    <row r="24" spans="1:12" ht="18.75" x14ac:dyDescent="0.3">
      <c r="A24" s="348">
        <v>19.440000000000001</v>
      </c>
      <c r="B24" s="348">
        <v>19.420000000000002</v>
      </c>
      <c r="C24" s="348">
        <v>57.63</v>
      </c>
      <c r="D24" s="348">
        <v>436.2</v>
      </c>
      <c r="E24" s="242" t="s">
        <v>712</v>
      </c>
      <c r="F24" s="242" t="s">
        <v>713</v>
      </c>
      <c r="G24" s="211" t="str">
        <f>IFERROR(VLOOKUP(F24,[2]Реестр!A:K,2,0),"")</f>
        <v/>
      </c>
      <c r="H24" s="206">
        <v>250</v>
      </c>
      <c r="I24" s="206">
        <v>130.94</v>
      </c>
      <c r="J24" s="201" t="str">
        <f>IFERROR(VLOOKUP(O24,Реестр!#REF!,3,0)*Q24/P24,"")</f>
        <v/>
      </c>
    </row>
    <row r="25" spans="1:12" ht="18.75" x14ac:dyDescent="0.3">
      <c r="A25" s="263">
        <v>0.18</v>
      </c>
      <c r="B25" s="263">
        <v>0.05</v>
      </c>
      <c r="C25" s="263">
        <v>0.32</v>
      </c>
      <c r="D25" s="263">
        <v>37.582527999999996</v>
      </c>
      <c r="E25" s="242" t="s">
        <v>714</v>
      </c>
      <c r="F25" s="386" t="s">
        <v>328</v>
      </c>
      <c r="G25" s="211">
        <f>IFERROR(VLOOKUP(F25,[2]Реестр!A:K,2,0),"")</f>
        <v>200</v>
      </c>
      <c r="H25" s="206">
        <v>200</v>
      </c>
      <c r="I25" s="207">
        <v>19.54</v>
      </c>
      <c r="J25" s="201"/>
    </row>
    <row r="26" spans="1:12" ht="18.75" x14ac:dyDescent="0.3">
      <c r="A26" s="264">
        <v>3.3</v>
      </c>
      <c r="B26" s="264">
        <v>0.3</v>
      </c>
      <c r="C26" s="264">
        <v>23.4</v>
      </c>
      <c r="D26" s="264">
        <v>112</v>
      </c>
      <c r="E26" s="242" t="str">
        <f>"-"</f>
        <v>-</v>
      </c>
      <c r="F26" s="387" t="s">
        <v>715</v>
      </c>
      <c r="G26" s="211" t="str">
        <f>IFERROR(VLOOKUP(F26,[2]Реестр!A:K,2,0),"")</f>
        <v/>
      </c>
      <c r="H26" s="206">
        <v>50</v>
      </c>
      <c r="I26" s="207">
        <v>4.5</v>
      </c>
      <c r="J26" s="201" t="str">
        <f>IFERROR(VLOOKUP(O26,Реестр!#REF!,3,0)*Q26/P26,"")</f>
        <v/>
      </c>
    </row>
    <row r="27" spans="1:12" ht="18.75" x14ac:dyDescent="0.3">
      <c r="A27" s="264">
        <v>2</v>
      </c>
      <c r="B27" s="264">
        <v>0.4</v>
      </c>
      <c r="C27" s="264">
        <v>10</v>
      </c>
      <c r="D27" s="264">
        <v>58</v>
      </c>
      <c r="E27" s="381" t="str">
        <f>"-"</f>
        <v>-</v>
      </c>
      <c r="F27" s="381" t="s">
        <v>707</v>
      </c>
      <c r="G27" s="211" t="str">
        <f>IFERROR(VLOOKUP(F27,[2]Реестр!A:K,2,0),"")</f>
        <v/>
      </c>
      <c r="H27" s="206">
        <v>30</v>
      </c>
      <c r="I27" s="203">
        <v>2.7</v>
      </c>
      <c r="J27" s="201"/>
    </row>
    <row r="28" spans="1:12" ht="18.75" x14ac:dyDescent="0.3">
      <c r="A28" s="196"/>
      <c r="B28" s="196"/>
      <c r="C28" s="196"/>
      <c r="D28" s="196"/>
      <c r="E28" s="197"/>
      <c r="F28" s="217"/>
      <c r="G28" s="199"/>
      <c r="H28" s="206"/>
      <c r="I28" s="203"/>
      <c r="J28" s="201" t="str">
        <f>IFERROR(VLOOKUP(O28,Реестр!#REF!,3,0)*Q28/P28,"")</f>
        <v/>
      </c>
    </row>
    <row r="29" spans="1:12" ht="18.75" x14ac:dyDescent="0.3">
      <c r="A29" s="453" t="s">
        <v>16</v>
      </c>
      <c r="B29" s="454"/>
      <c r="C29" s="454"/>
      <c r="D29" s="454"/>
      <c r="E29" s="454"/>
      <c r="F29" s="455"/>
      <c r="G29" s="205"/>
      <c r="H29" s="206"/>
      <c r="I29" s="207">
        <f>SUM(I23:I28)</f>
        <v>176.93999999999997</v>
      </c>
      <c r="J29" s="206">
        <v>98.52</v>
      </c>
      <c r="K29" s="208">
        <f>I29-J29</f>
        <v>78.419999999999973</v>
      </c>
      <c r="L29" s="208"/>
    </row>
    <row r="30" spans="1:12" ht="18.75" x14ac:dyDescent="0.3">
      <c r="A30" s="462" t="s">
        <v>501</v>
      </c>
      <c r="B30" s="462"/>
      <c r="C30" s="462"/>
      <c r="D30" s="462"/>
      <c r="E30" s="462"/>
      <c r="F30" s="462"/>
      <c r="G30" s="462"/>
      <c r="H30" s="462"/>
      <c r="I30" s="462"/>
      <c r="J30" s="201"/>
    </row>
    <row r="31" spans="1:12" ht="30" x14ac:dyDescent="0.3">
      <c r="A31" s="383">
        <v>2.2999999999999998</v>
      </c>
      <c r="B31" s="383">
        <v>6.01</v>
      </c>
      <c r="C31" s="383">
        <v>4.01</v>
      </c>
      <c r="D31" s="383">
        <v>72.147796</v>
      </c>
      <c r="E31" s="242" t="s">
        <v>709</v>
      </c>
      <c r="F31" s="242" t="s">
        <v>710</v>
      </c>
      <c r="G31" s="211" t="str">
        <f>IFERROR(VLOOKUP(F31,[2]Реестр!A:K,2,0),"")</f>
        <v/>
      </c>
      <c r="H31" s="210">
        <v>100</v>
      </c>
      <c r="I31" s="230">
        <v>56.17</v>
      </c>
      <c r="J31" s="201"/>
    </row>
    <row r="32" spans="1:12" ht="18.75" x14ac:dyDescent="0.3">
      <c r="A32" s="263">
        <v>4.1100000000000003</v>
      </c>
      <c r="B32" s="263">
        <v>4.7699999999999996</v>
      </c>
      <c r="C32" s="263">
        <v>26.5</v>
      </c>
      <c r="D32" s="263">
        <v>213.5</v>
      </c>
      <c r="E32" s="242" t="s">
        <v>711</v>
      </c>
      <c r="F32" s="242" t="s">
        <v>716</v>
      </c>
      <c r="G32" s="211" t="str">
        <f>IFERROR(VLOOKUP(F32,[2]Реестр!A:K,2,0),"")</f>
        <v/>
      </c>
      <c r="H32" s="206">
        <v>250</v>
      </c>
      <c r="I32" s="207">
        <v>50</v>
      </c>
      <c r="J32" s="206"/>
      <c r="K32" s="208">
        <f>I38-J32</f>
        <v>265.40000000000003</v>
      </c>
    </row>
    <row r="33" spans="1:12" ht="18.75" x14ac:dyDescent="0.3">
      <c r="A33" s="348">
        <v>17.5</v>
      </c>
      <c r="B33" s="348">
        <v>15.6</v>
      </c>
      <c r="C33" s="348">
        <v>42.3</v>
      </c>
      <c r="D33" s="348">
        <v>265.7</v>
      </c>
      <c r="E33" s="242" t="s">
        <v>712</v>
      </c>
      <c r="F33" s="242" t="s">
        <v>713</v>
      </c>
      <c r="G33" s="211" t="str">
        <f>IFERROR(VLOOKUP(F33,[2]Реестр!A:K,2,0),"")</f>
        <v/>
      </c>
      <c r="H33" s="206">
        <v>250</v>
      </c>
      <c r="I33" s="206">
        <v>130.94</v>
      </c>
      <c r="J33" s="212"/>
    </row>
    <row r="34" spans="1:12" ht="18.75" x14ac:dyDescent="0.3">
      <c r="A34" s="263">
        <v>3.94</v>
      </c>
      <c r="B34" s="263">
        <v>5.1100000000000003</v>
      </c>
      <c r="C34" s="263">
        <v>27.5</v>
      </c>
      <c r="D34" s="263">
        <v>170.19544859999999</v>
      </c>
      <c r="E34" s="242" t="s">
        <v>714</v>
      </c>
      <c r="F34" s="386" t="s">
        <v>328</v>
      </c>
      <c r="G34" s="211">
        <f>IFERROR(VLOOKUP(F34,[2]Реестр!A:K,2,0),"")</f>
        <v>200</v>
      </c>
      <c r="H34" s="206">
        <v>200</v>
      </c>
      <c r="I34" s="207">
        <v>19.54</v>
      </c>
      <c r="J34" s="212"/>
    </row>
    <row r="35" spans="1:12" ht="18.75" x14ac:dyDescent="0.3">
      <c r="A35" s="264">
        <v>0.14000000000000001</v>
      </c>
      <c r="B35" s="264">
        <v>0.1</v>
      </c>
      <c r="C35" s="264">
        <v>1.5</v>
      </c>
      <c r="D35" s="264">
        <v>83.962620000000015</v>
      </c>
      <c r="E35" s="242" t="s">
        <v>471</v>
      </c>
      <c r="F35" s="242" t="s">
        <v>715</v>
      </c>
      <c r="G35" s="211" t="str">
        <f>IFERROR(VLOOKUP(F35,[2]Реестр!A:K,2,0),"")</f>
        <v/>
      </c>
      <c r="H35" s="206">
        <v>50</v>
      </c>
      <c r="I35" s="207">
        <v>4.5</v>
      </c>
      <c r="J35" s="212"/>
    </row>
    <row r="36" spans="1:12" ht="18.75" x14ac:dyDescent="0.3">
      <c r="A36" s="264">
        <v>3.3</v>
      </c>
      <c r="B36" s="264">
        <v>0.3</v>
      </c>
      <c r="C36" s="264">
        <v>23.4</v>
      </c>
      <c r="D36" s="264">
        <v>112</v>
      </c>
      <c r="E36" s="381" t="s">
        <v>471</v>
      </c>
      <c r="F36" s="381" t="s">
        <v>707</v>
      </c>
      <c r="G36" s="211" t="str">
        <f>IFERROR(VLOOKUP(F36,[2]Реестр!A:K,2,0),"")</f>
        <v/>
      </c>
      <c r="H36" s="206">
        <v>50</v>
      </c>
      <c r="I36" s="203">
        <v>4.25</v>
      </c>
      <c r="J36" s="394"/>
    </row>
    <row r="37" spans="1:12" ht="18.75" x14ac:dyDescent="0.3">
      <c r="A37" s="209"/>
      <c r="B37" s="209"/>
      <c r="C37" s="209"/>
      <c r="D37" s="209"/>
      <c r="E37" s="218"/>
      <c r="F37" s="217"/>
      <c r="G37" s="211"/>
      <c r="H37" s="206"/>
      <c r="I37" s="207"/>
      <c r="J37" s="394"/>
    </row>
    <row r="38" spans="1:12" ht="18.75" x14ac:dyDescent="0.3">
      <c r="A38" s="453" t="s">
        <v>16</v>
      </c>
      <c r="B38" s="454"/>
      <c r="C38" s="454"/>
      <c r="D38" s="454"/>
      <c r="E38" s="454"/>
      <c r="F38" s="455"/>
      <c r="G38" s="205"/>
      <c r="H38" s="206"/>
      <c r="I38" s="207">
        <f>SUM(I31:I37)</f>
        <v>265.40000000000003</v>
      </c>
      <c r="J38" s="206">
        <v>147.79</v>
      </c>
      <c r="K38" s="208">
        <f>I38-J38</f>
        <v>117.61000000000004</v>
      </c>
    </row>
    <row r="39" spans="1:12" ht="18.75" hidden="1" x14ac:dyDescent="0.3">
      <c r="A39" s="462" t="s">
        <v>18</v>
      </c>
      <c r="B39" s="462"/>
      <c r="C39" s="462"/>
      <c r="D39" s="462"/>
      <c r="E39" s="462"/>
      <c r="F39" s="462"/>
      <c r="G39" s="462"/>
      <c r="H39" s="462"/>
      <c r="I39" s="462"/>
      <c r="J39" s="394"/>
    </row>
    <row r="40" spans="1:12" ht="18.75" hidden="1" x14ac:dyDescent="0.3">
      <c r="A40" s="462" t="s">
        <v>19</v>
      </c>
      <c r="B40" s="462"/>
      <c r="C40" s="462"/>
      <c r="D40" s="462"/>
      <c r="E40" s="462"/>
      <c r="F40" s="462"/>
      <c r="G40" s="462"/>
      <c r="H40" s="462"/>
      <c r="I40" s="462"/>
      <c r="J40" s="394"/>
    </row>
    <row r="41" spans="1:12" ht="18.75" hidden="1" customHeight="1" x14ac:dyDescent="0.3">
      <c r="A41" s="209">
        <f>IFERROR(VLOOKUP(F41,[1]Реестр!A:K,3,0)*H41/G41,"")</f>
        <v>3.84</v>
      </c>
      <c r="B41" s="209">
        <f>IFERROR(VLOOKUP(F41,[1]Реестр!A:K,4,0)*H41/G41,"")</f>
        <v>10.1</v>
      </c>
      <c r="C41" s="209">
        <f>IFERROR(VLOOKUP(F41,[1]Реестр!A:K,5,0)*H41/G41,"")</f>
        <v>9.77</v>
      </c>
      <c r="D41" s="209">
        <f>IFERROR(VLOOKUP(F41,[1]Реестр!A:K,6,0)*H41/G41,"")</f>
        <v>145.38300000000001</v>
      </c>
      <c r="E41" s="210" t="str">
        <f>IFERROR(VLOOKUP(F41,[1]Реестр!A:K,11,0),"")</f>
        <v>1*57</v>
      </c>
      <c r="F41" s="395" t="s">
        <v>106</v>
      </c>
      <c r="G41" s="211" t="str">
        <f>IFERROR(VLOOKUP(F41,[1]Реестр!A:K,2,0),"")</f>
        <v>40</v>
      </c>
      <c r="H41" s="210">
        <v>40</v>
      </c>
      <c r="I41" s="207">
        <v>49.55</v>
      </c>
      <c r="J41" s="394" t="s">
        <v>20</v>
      </c>
    </row>
    <row r="42" spans="1:12" ht="18.75" hidden="1" customHeight="1" x14ac:dyDescent="0.3">
      <c r="A42" s="209">
        <v>9.75</v>
      </c>
      <c r="B42" s="209">
        <v>12.14</v>
      </c>
      <c r="C42" s="209">
        <v>36.06</v>
      </c>
      <c r="D42" s="209">
        <v>291.64</v>
      </c>
      <c r="E42" s="349" t="str">
        <f>"2/57"</f>
        <v>2/57</v>
      </c>
      <c r="F42" s="349" t="s">
        <v>665</v>
      </c>
      <c r="G42" s="211" t="str">
        <f>IFERROR(VLOOKUP(F42,[1]Реестр!A:K,2,0),"")</f>
        <v/>
      </c>
      <c r="H42" s="210">
        <v>210</v>
      </c>
      <c r="I42" s="207">
        <v>51.38</v>
      </c>
      <c r="J42" s="394" t="s">
        <v>537</v>
      </c>
      <c r="K42" s="237"/>
      <c r="L42" s="237"/>
    </row>
    <row r="43" spans="1:12" ht="18.75" hidden="1" customHeight="1" x14ac:dyDescent="0.3">
      <c r="A43" s="209">
        <f>IFERROR(VLOOKUP(F43,[1]Реестр!A:K,3,0)*H43/G43,"")</f>
        <v>0.15</v>
      </c>
      <c r="B43" s="209">
        <f>IFERROR(VLOOKUP(F43,[1]Реестр!A:K,4,0)*H43/G43,"")</f>
        <v>0.09</v>
      </c>
      <c r="C43" s="209">
        <f>IFERROR(VLOOKUP(F43,[1]Реестр!A:K,5,0)*H43/G43,"")</f>
        <v>8.58</v>
      </c>
      <c r="D43" s="209">
        <f>IFERROR(VLOOKUP(F43,[1]Реестр!A:K,6,0)*H43/G43,"")</f>
        <v>34.799999999999997</v>
      </c>
      <c r="E43" s="210" t="str">
        <f>IFERROR(VLOOKUP(F43,[1]Реестр!A:K,11,0),"")</f>
        <v>12*2</v>
      </c>
      <c r="F43" s="398" t="s">
        <v>371</v>
      </c>
      <c r="G43" s="211" t="str">
        <f>IFERROR(VLOOKUP(F43,[1]Реестр!A:K,2,0),"")</f>
        <v>100</v>
      </c>
      <c r="H43" s="210">
        <v>30</v>
      </c>
      <c r="I43" s="207">
        <v>24.59</v>
      </c>
      <c r="J43" s="394" t="s">
        <v>477</v>
      </c>
      <c r="K43" s="237"/>
      <c r="L43" s="237"/>
    </row>
    <row r="44" spans="1:12" ht="18.75" hidden="1" customHeight="1" x14ac:dyDescent="0.3">
      <c r="A44" s="209">
        <f>IFERROR(VLOOKUP(F44,[1]Реестр!A:K,3,0)*H44/G44,"")</f>
        <v>1.4</v>
      </c>
      <c r="B44" s="209">
        <f>IFERROR(VLOOKUP(F44,[1]Реестр!A:K,4,0)*H44/G44,"")</f>
        <v>1.1000000000000001</v>
      </c>
      <c r="C44" s="209">
        <f>IFERROR(VLOOKUP(F44,[1]Реестр!A:K,5,0)*H44/G44,"")</f>
        <v>16.600000000000001</v>
      </c>
      <c r="D44" s="209">
        <f>IFERROR(VLOOKUP(F44,[1]Реестр!A:K,6,0)*H44/G44,"")</f>
        <v>79</v>
      </c>
      <c r="E44" s="349" t="str">
        <f>"11/59"</f>
        <v>11/59</v>
      </c>
      <c r="F44" s="349" t="s">
        <v>357</v>
      </c>
      <c r="G44" s="211" t="str">
        <f>IFERROR(VLOOKUP(F44,[1]Реестр!A:K,2,0),"")</f>
        <v>200</v>
      </c>
      <c r="H44" s="206">
        <v>200</v>
      </c>
      <c r="I44" s="207">
        <v>22.2</v>
      </c>
      <c r="J44" s="394" t="s">
        <v>479</v>
      </c>
      <c r="K44" s="237"/>
      <c r="L44" s="237"/>
    </row>
    <row r="45" spans="1:12" ht="18.75" hidden="1" customHeight="1" x14ac:dyDescent="0.3">
      <c r="A45" s="209">
        <f>IFERROR(VLOOKUP(F45,[1]Реестр!A:K,3,0)*H45/G45,"")</f>
        <v>1.32</v>
      </c>
      <c r="B45" s="209">
        <f>IFERROR(VLOOKUP(F45,[1]Реестр!A:K,4,0)*H45/G45,"")</f>
        <v>0.24</v>
      </c>
      <c r="C45" s="209">
        <f>IFERROR(VLOOKUP(F45,[1]Реестр!A:K,5,0)*H45/G45,"")</f>
        <v>6.68</v>
      </c>
      <c r="D45" s="209">
        <f>IFERROR(VLOOKUP(F45,[1]Реестр!A:K,6,0)*H45/G45,"")</f>
        <v>38.6</v>
      </c>
      <c r="E45" s="210" t="str">
        <f>IFERROR(VLOOKUP(F45,[1]Реестр!A:K,11,0),"")</f>
        <v>-</v>
      </c>
      <c r="F45" s="217" t="s">
        <v>65</v>
      </c>
      <c r="G45" s="211" t="str">
        <f>IFERROR(VLOOKUP(F45,[1]Реестр!A:K,2,0),"")</f>
        <v>100</v>
      </c>
      <c r="H45" s="206">
        <v>20</v>
      </c>
      <c r="I45" s="207">
        <v>1.8</v>
      </c>
      <c r="J45" s="394" t="s">
        <v>475</v>
      </c>
      <c r="K45" s="238"/>
      <c r="L45" s="237"/>
    </row>
    <row r="46" spans="1:12" ht="18.75" hidden="1" customHeight="1" x14ac:dyDescent="0.3">
      <c r="A46" s="465" t="s">
        <v>25</v>
      </c>
      <c r="B46" s="466"/>
      <c r="C46" s="466"/>
      <c r="D46" s="466"/>
      <c r="E46" s="466"/>
      <c r="F46" s="466"/>
      <c r="G46" s="466"/>
      <c r="H46" s="466"/>
      <c r="I46" s="467"/>
      <c r="J46" s="394"/>
    </row>
    <row r="47" spans="1:12" s="234" customFormat="1" ht="31.5" hidden="1" customHeight="1" x14ac:dyDescent="0.25">
      <c r="A47" s="367">
        <v>1.03</v>
      </c>
      <c r="B47" s="396">
        <v>4.7699999999999996</v>
      </c>
      <c r="C47" s="396">
        <v>6.38</v>
      </c>
      <c r="D47" s="396">
        <v>68.989999999999995</v>
      </c>
      <c r="E47" s="357" t="str">
        <f>"7/80"</f>
        <v>7/80</v>
      </c>
      <c r="F47" s="228" t="s">
        <v>678</v>
      </c>
      <c r="G47" s="211" t="str">
        <f>IFERROR(VLOOKUP(F47,[2]Реестр!A:K,2,0),"")</f>
        <v/>
      </c>
      <c r="H47" s="210">
        <v>80</v>
      </c>
      <c r="I47" s="230">
        <v>41.6</v>
      </c>
      <c r="J47" s="239" t="s">
        <v>538</v>
      </c>
    </row>
    <row r="48" spans="1:12" ht="18.75" hidden="1" customHeight="1" x14ac:dyDescent="0.3">
      <c r="A48" s="263">
        <v>5.55</v>
      </c>
      <c r="B48" s="263">
        <v>7.8</v>
      </c>
      <c r="C48" s="263">
        <v>15.95</v>
      </c>
      <c r="D48" s="263">
        <v>199.78905478333331</v>
      </c>
      <c r="E48" s="350" t="str">
        <f>"6/70"</f>
        <v>6/70</v>
      </c>
      <c r="F48" s="350" t="s">
        <v>220</v>
      </c>
      <c r="G48" s="211" t="str">
        <f>IFERROR(VLOOKUP(F48,[2]Реестр!A:K,2,0),"")</f>
        <v>300</v>
      </c>
      <c r="H48" s="206">
        <v>250</v>
      </c>
      <c r="I48" s="207">
        <v>50</v>
      </c>
      <c r="J48" s="394" t="s">
        <v>478</v>
      </c>
    </row>
    <row r="49" spans="1:11" ht="18.75" hidden="1" customHeight="1" x14ac:dyDescent="0.3">
      <c r="A49" s="263">
        <v>16.579999999999998</v>
      </c>
      <c r="B49" s="263">
        <v>19.5</v>
      </c>
      <c r="C49" s="263">
        <v>68.38</v>
      </c>
      <c r="D49" s="263">
        <v>327.07</v>
      </c>
      <c r="E49" s="349" t="str">
        <f>"8/35"</f>
        <v>8/35</v>
      </c>
      <c r="F49" s="349" t="s">
        <v>549</v>
      </c>
      <c r="G49" s="211" t="str">
        <f>IFERROR(VLOOKUP(F49,[2]Реестр!A:K,2,0),"")</f>
        <v/>
      </c>
      <c r="H49" s="206">
        <v>200</v>
      </c>
      <c r="I49" s="206">
        <v>112.67</v>
      </c>
      <c r="J49" s="394" t="s">
        <v>537</v>
      </c>
    </row>
    <row r="50" spans="1:11" ht="18.75" hidden="1" customHeight="1" x14ac:dyDescent="0.3">
      <c r="A50" s="263">
        <v>0.14000000000000001</v>
      </c>
      <c r="B50" s="263">
        <v>0.1</v>
      </c>
      <c r="C50" s="263">
        <v>1.5</v>
      </c>
      <c r="D50" s="263">
        <v>83.962620000000015</v>
      </c>
      <c r="E50" s="349" t="str">
        <f>"11/1"</f>
        <v>11/1</v>
      </c>
      <c r="F50" s="349" t="s">
        <v>317</v>
      </c>
      <c r="G50" s="211">
        <f>IFERROR(VLOOKUP(F50,[2]Реестр!A:K,2,0),"")</f>
        <v>200</v>
      </c>
      <c r="H50" s="206">
        <v>200</v>
      </c>
      <c r="I50" s="207">
        <v>12.8</v>
      </c>
      <c r="J50" s="394" t="s">
        <v>29</v>
      </c>
    </row>
    <row r="51" spans="1:11" ht="18.75" hidden="1" customHeight="1" x14ac:dyDescent="0.3">
      <c r="A51" s="209">
        <v>2.64</v>
      </c>
      <c r="B51" s="209">
        <v>0.24</v>
      </c>
      <c r="C51" s="209">
        <v>18.72</v>
      </c>
      <c r="D51" s="209">
        <v>89.6</v>
      </c>
      <c r="E51" s="210" t="s">
        <v>471</v>
      </c>
      <c r="F51" s="217" t="s">
        <v>66</v>
      </c>
      <c r="G51" s="211" t="str">
        <f>IFERROR(VLOOKUP(F51,[2]Реестр!A:K,2,0),"")</f>
        <v>100</v>
      </c>
      <c r="H51" s="206">
        <v>40</v>
      </c>
      <c r="I51" s="207">
        <v>3.6</v>
      </c>
      <c r="J51" s="394" t="s">
        <v>479</v>
      </c>
    </row>
    <row r="52" spans="1:11" ht="18.75" hidden="1" customHeight="1" x14ac:dyDescent="0.3">
      <c r="A52" s="209">
        <v>2.64</v>
      </c>
      <c r="B52" s="209">
        <v>0.48</v>
      </c>
      <c r="C52" s="209">
        <v>13.36</v>
      </c>
      <c r="D52" s="209">
        <v>77.2</v>
      </c>
      <c r="E52" s="210" t="s">
        <v>471</v>
      </c>
      <c r="F52" s="217" t="s">
        <v>65</v>
      </c>
      <c r="G52" s="211" t="str">
        <f>IFERROR(VLOOKUP(F52,[2]Реестр!A:K,2,0),"")</f>
        <v>100</v>
      </c>
      <c r="H52" s="206">
        <v>40</v>
      </c>
      <c r="I52" s="207">
        <v>3.6</v>
      </c>
      <c r="J52" s="394" t="s">
        <v>539</v>
      </c>
    </row>
    <row r="53" spans="1:11" ht="18.75" hidden="1" customHeight="1" x14ac:dyDescent="0.3">
      <c r="A53" s="196"/>
      <c r="B53" s="196"/>
      <c r="C53" s="196"/>
      <c r="D53" s="196"/>
      <c r="E53" s="214"/>
      <c r="F53" s="204"/>
      <c r="G53" s="199"/>
      <c r="H53" s="200"/>
      <c r="I53" s="203"/>
      <c r="J53" s="394" t="s">
        <v>540</v>
      </c>
    </row>
    <row r="54" spans="1:11" ht="18.75" hidden="1" x14ac:dyDescent="0.3">
      <c r="A54" s="464" t="s">
        <v>16</v>
      </c>
      <c r="B54" s="464"/>
      <c r="C54" s="464"/>
      <c r="D54" s="464"/>
      <c r="E54" s="464"/>
      <c r="F54" s="464"/>
      <c r="G54" s="206"/>
      <c r="H54" s="206"/>
      <c r="I54" s="207">
        <f>SUM(I41:I45,I47:I53)</f>
        <v>373.79000000000008</v>
      </c>
      <c r="J54" s="206">
        <v>212.99</v>
      </c>
      <c r="K54" s="208">
        <f>I54-J54</f>
        <v>160.80000000000007</v>
      </c>
    </row>
    <row r="55" spans="1:11" ht="18.75" x14ac:dyDescent="0.3">
      <c r="A55" s="465" t="s">
        <v>33</v>
      </c>
      <c r="B55" s="466"/>
      <c r="C55" s="466"/>
      <c r="D55" s="466"/>
      <c r="E55" s="466"/>
      <c r="F55" s="466"/>
      <c r="G55" s="466"/>
      <c r="H55" s="466"/>
      <c r="I55" s="467"/>
      <c r="J55" s="394"/>
    </row>
    <row r="56" spans="1:11" ht="18.75" x14ac:dyDescent="0.3">
      <c r="A56" s="465" t="s">
        <v>19</v>
      </c>
      <c r="B56" s="466"/>
      <c r="C56" s="466"/>
      <c r="D56" s="466"/>
      <c r="E56" s="466"/>
      <c r="F56" s="466"/>
      <c r="G56" s="466"/>
      <c r="H56" s="466"/>
      <c r="I56" s="467"/>
      <c r="J56" s="394"/>
    </row>
    <row r="57" spans="1:11" ht="18.75" x14ac:dyDescent="0.3">
      <c r="A57" s="243">
        <v>3.76</v>
      </c>
      <c r="B57" s="243">
        <v>3.05</v>
      </c>
      <c r="C57" s="243">
        <v>15.15</v>
      </c>
      <c r="D57" s="243">
        <v>112.3</v>
      </c>
      <c r="E57" s="242" t="str">
        <f>"1/50"</f>
        <v>1/50</v>
      </c>
      <c r="F57" s="242" t="s">
        <v>718</v>
      </c>
      <c r="G57" s="211" t="str">
        <f>IFERROR(VLOOKUP(F57,[1]Реестр!A:K,2,0),"")</f>
        <v/>
      </c>
      <c r="H57" s="210">
        <v>30</v>
      </c>
      <c r="I57" s="207">
        <v>38.369999999999997</v>
      </c>
      <c r="J57" s="394" t="s">
        <v>20</v>
      </c>
    </row>
    <row r="58" spans="1:11" ht="18.75" x14ac:dyDescent="0.3">
      <c r="A58" s="243">
        <v>16.39</v>
      </c>
      <c r="B58" s="243">
        <v>19.7</v>
      </c>
      <c r="C58" s="243">
        <v>41.3</v>
      </c>
      <c r="D58" s="243">
        <v>392.3</v>
      </c>
      <c r="E58" s="242" t="str">
        <f>"4/56"</f>
        <v>4/56</v>
      </c>
      <c r="F58" s="242" t="s">
        <v>705</v>
      </c>
      <c r="G58" s="211"/>
      <c r="H58" s="210">
        <v>200</v>
      </c>
      <c r="I58" s="207">
        <v>101.94</v>
      </c>
      <c r="J58" s="394" t="s">
        <v>537</v>
      </c>
    </row>
    <row r="59" spans="1:11" ht="18.75" x14ac:dyDescent="0.3">
      <c r="A59" s="243">
        <v>0.18</v>
      </c>
      <c r="B59" s="243">
        <v>0.04</v>
      </c>
      <c r="C59" s="243">
        <v>13.75</v>
      </c>
      <c r="D59" s="243">
        <v>53.136642799999997</v>
      </c>
      <c r="E59" s="242" t="str">
        <f>"11/56"</f>
        <v>11/56</v>
      </c>
      <c r="F59" s="242" t="s">
        <v>499</v>
      </c>
      <c r="G59" s="211"/>
      <c r="H59" s="210">
        <v>200</v>
      </c>
      <c r="I59" s="207">
        <v>8.15</v>
      </c>
      <c r="J59" s="394" t="s">
        <v>477</v>
      </c>
    </row>
    <row r="60" spans="1:11" ht="18.75" x14ac:dyDescent="0.3">
      <c r="A60" s="264">
        <v>2</v>
      </c>
      <c r="B60" s="264">
        <v>0.4</v>
      </c>
      <c r="C60" s="264">
        <v>10</v>
      </c>
      <c r="D60" s="264">
        <v>58</v>
      </c>
      <c r="E60" s="381" t="str">
        <f>"-"</f>
        <v>-</v>
      </c>
      <c r="F60" s="381" t="s">
        <v>707</v>
      </c>
      <c r="G60" s="211"/>
      <c r="H60" s="206">
        <v>30</v>
      </c>
      <c r="I60" s="207">
        <v>2.7</v>
      </c>
      <c r="J60" s="394" t="s">
        <v>541</v>
      </c>
      <c r="K60" s="237"/>
    </row>
    <row r="61" spans="1:11" ht="18.75" x14ac:dyDescent="0.3">
      <c r="A61" s="264">
        <v>0.52</v>
      </c>
      <c r="B61" s="264">
        <v>0.52</v>
      </c>
      <c r="C61" s="264">
        <v>15.08</v>
      </c>
      <c r="D61" s="264">
        <v>63.283999999999985</v>
      </c>
      <c r="E61" s="381" t="str">
        <f>"-"</f>
        <v>-</v>
      </c>
      <c r="F61" s="381" t="s">
        <v>708</v>
      </c>
      <c r="G61" s="211"/>
      <c r="H61" s="206">
        <v>130</v>
      </c>
      <c r="I61" s="207">
        <v>25.78</v>
      </c>
      <c r="J61" s="394" t="s">
        <v>475</v>
      </c>
      <c r="K61" s="237"/>
    </row>
    <row r="62" spans="1:11" ht="18.75" x14ac:dyDescent="0.3">
      <c r="A62" s="465" t="s">
        <v>25</v>
      </c>
      <c r="B62" s="466"/>
      <c r="C62" s="466"/>
      <c r="D62" s="466"/>
      <c r="E62" s="466"/>
      <c r="F62" s="466"/>
      <c r="G62" s="466"/>
      <c r="H62" s="466"/>
      <c r="I62" s="467"/>
      <c r="J62" s="201" t="str">
        <f>IFERROR(VLOOKUP(O62,Реестр!#REF!,3,0)*Q62/P62,"")</f>
        <v/>
      </c>
      <c r="K62" s="237"/>
    </row>
    <row r="63" spans="1:11" s="234" customFormat="1" ht="30" x14ac:dyDescent="0.25">
      <c r="A63" s="383">
        <v>2.2999999999999998</v>
      </c>
      <c r="B63" s="383">
        <v>6.01</v>
      </c>
      <c r="C63" s="383">
        <v>4.01</v>
      </c>
      <c r="D63" s="383">
        <v>72.147796</v>
      </c>
      <c r="E63" s="242" t="s">
        <v>709</v>
      </c>
      <c r="F63" s="242" t="s">
        <v>710</v>
      </c>
      <c r="G63" s="211" t="str">
        <f>IFERROR(VLOOKUP(F63,[2]Реестр!A:K,2,0),"")</f>
        <v/>
      </c>
      <c r="H63" s="210">
        <v>100</v>
      </c>
      <c r="I63" s="230">
        <v>56.17</v>
      </c>
      <c r="J63" s="239" t="s">
        <v>538</v>
      </c>
      <c r="K63" s="240"/>
    </row>
    <row r="64" spans="1:11" ht="18.75" x14ac:dyDescent="0.3">
      <c r="A64" s="263">
        <v>4.1100000000000003</v>
      </c>
      <c r="B64" s="263">
        <v>4.7699999999999996</v>
      </c>
      <c r="C64" s="263">
        <v>26.5</v>
      </c>
      <c r="D64" s="263">
        <v>213.5</v>
      </c>
      <c r="E64" s="242" t="s">
        <v>711</v>
      </c>
      <c r="F64" s="242" t="s">
        <v>716</v>
      </c>
      <c r="G64" s="211" t="str">
        <f>IFERROR(VLOOKUP(F64,[2]Реестр!A:K,2,0),"")</f>
        <v/>
      </c>
      <c r="H64" s="206">
        <v>250</v>
      </c>
      <c r="I64" s="207">
        <v>50</v>
      </c>
      <c r="J64" s="394" t="s">
        <v>478</v>
      </c>
      <c r="K64" s="237"/>
    </row>
    <row r="65" spans="1:12" ht="18.75" x14ac:dyDescent="0.3">
      <c r="A65" s="348">
        <v>17.5</v>
      </c>
      <c r="B65" s="348">
        <v>15.6</v>
      </c>
      <c r="C65" s="348">
        <v>42.3</v>
      </c>
      <c r="D65" s="348">
        <v>265.7</v>
      </c>
      <c r="E65" s="242" t="s">
        <v>712</v>
      </c>
      <c r="F65" s="242" t="s">
        <v>713</v>
      </c>
      <c r="G65" s="211" t="str">
        <f>IFERROR(VLOOKUP(F65,[2]Реестр!A:K,2,0),"")</f>
        <v/>
      </c>
      <c r="H65" s="206">
        <v>250</v>
      </c>
      <c r="I65" s="206">
        <v>130.94</v>
      </c>
      <c r="J65" s="394" t="s">
        <v>537</v>
      </c>
      <c r="K65" s="237"/>
    </row>
    <row r="66" spans="1:12" ht="18.75" x14ac:dyDescent="0.3">
      <c r="A66" s="263">
        <v>3.94</v>
      </c>
      <c r="B66" s="263">
        <v>5.1100000000000003</v>
      </c>
      <c r="C66" s="263">
        <v>27.5</v>
      </c>
      <c r="D66" s="263">
        <v>170.19544859999999</v>
      </c>
      <c r="E66" s="242" t="s">
        <v>714</v>
      </c>
      <c r="F66" s="386" t="s">
        <v>328</v>
      </c>
      <c r="G66" s="211">
        <f>IFERROR(VLOOKUP(F66,[2]Реестр!A:K,2,0),"")</f>
        <v>200</v>
      </c>
      <c r="H66" s="206">
        <v>200</v>
      </c>
      <c r="I66" s="207">
        <v>19.54</v>
      </c>
      <c r="J66" s="394" t="s">
        <v>29</v>
      </c>
      <c r="K66" s="237"/>
    </row>
    <row r="67" spans="1:12" ht="18.75" x14ac:dyDescent="0.3">
      <c r="A67" s="264">
        <v>0.14000000000000001</v>
      </c>
      <c r="B67" s="264">
        <v>0.1</v>
      </c>
      <c r="C67" s="264">
        <v>1.5</v>
      </c>
      <c r="D67" s="264">
        <v>83.962620000000015</v>
      </c>
      <c r="E67" s="242" t="s">
        <v>471</v>
      </c>
      <c r="F67" s="242" t="s">
        <v>715</v>
      </c>
      <c r="G67" s="211" t="str">
        <f>IFERROR(VLOOKUP(F67,[2]Реестр!A:K,2,0),"")</f>
        <v/>
      </c>
      <c r="H67" s="206">
        <v>50</v>
      </c>
      <c r="I67" s="207">
        <v>4.5</v>
      </c>
      <c r="J67" s="394" t="s">
        <v>479</v>
      </c>
      <c r="K67" s="208"/>
    </row>
    <row r="68" spans="1:12" ht="18.75" x14ac:dyDescent="0.3">
      <c r="A68" s="264">
        <v>3.3</v>
      </c>
      <c r="B68" s="264">
        <v>0.3</v>
      </c>
      <c r="C68" s="264">
        <v>23.4</v>
      </c>
      <c r="D68" s="264">
        <v>112</v>
      </c>
      <c r="E68" s="381" t="s">
        <v>471</v>
      </c>
      <c r="F68" s="381" t="s">
        <v>707</v>
      </c>
      <c r="G68" s="211" t="str">
        <f>IFERROR(VLOOKUP(F68,[2]Реестр!A:K,2,0),"")</f>
        <v/>
      </c>
      <c r="H68" s="206">
        <v>50</v>
      </c>
      <c r="I68" s="207">
        <v>4.25</v>
      </c>
      <c r="J68" s="394" t="s">
        <v>23</v>
      </c>
    </row>
    <row r="69" spans="1:12" ht="18.75" x14ac:dyDescent="0.3">
      <c r="A69" s="209"/>
      <c r="B69" s="209"/>
      <c r="C69" s="209"/>
      <c r="D69" s="209"/>
      <c r="E69" s="218"/>
      <c r="F69" s="217"/>
      <c r="G69" s="211"/>
      <c r="H69" s="206"/>
      <c r="I69" s="207"/>
      <c r="J69" s="394" t="s">
        <v>540</v>
      </c>
    </row>
    <row r="70" spans="1:12" ht="18" customHeight="1" x14ac:dyDescent="0.3">
      <c r="A70" s="464" t="s">
        <v>16</v>
      </c>
      <c r="B70" s="464"/>
      <c r="C70" s="464"/>
      <c r="D70" s="464"/>
      <c r="E70" s="464"/>
      <c r="F70" s="464"/>
      <c r="G70" s="206"/>
      <c r="H70" s="206"/>
      <c r="I70" s="207">
        <f>SUM(I57:I61)+SUM(I63:I69)</f>
        <v>442.34000000000003</v>
      </c>
      <c r="J70" s="201">
        <v>246.31</v>
      </c>
      <c r="K70" s="208">
        <f>J70-I70</f>
        <v>-196.03000000000003</v>
      </c>
    </row>
    <row r="71" spans="1:12" ht="18.75" x14ac:dyDescent="0.3">
      <c r="A71" s="465" t="s">
        <v>34</v>
      </c>
      <c r="B71" s="466"/>
      <c r="C71" s="466"/>
      <c r="D71" s="466"/>
      <c r="E71" s="466"/>
      <c r="F71" s="466"/>
      <c r="G71" s="466"/>
      <c r="H71" s="466"/>
      <c r="I71" s="467"/>
      <c r="J71" s="206"/>
      <c r="K71" s="208"/>
    </row>
    <row r="72" spans="1:12" ht="18.75" x14ac:dyDescent="0.25">
      <c r="A72" s="263">
        <v>0.48</v>
      </c>
      <c r="B72" s="263">
        <v>2.37</v>
      </c>
      <c r="C72" s="263">
        <v>3.09</v>
      </c>
      <c r="D72" s="263">
        <v>36.64</v>
      </c>
      <c r="E72" s="384" t="str">
        <f>"7/26"</f>
        <v>7/26</v>
      </c>
      <c r="F72" s="385" t="s">
        <v>717</v>
      </c>
      <c r="G72" s="211" t="str">
        <f>IFERROR(VLOOKUP(F72,[1]Реестр!A:K,2,0),"")</f>
        <v/>
      </c>
      <c r="H72" s="210">
        <v>30</v>
      </c>
      <c r="I72" s="230">
        <v>19.260000000000002</v>
      </c>
    </row>
    <row r="73" spans="1:12" ht="18.75" x14ac:dyDescent="0.3">
      <c r="A73" s="348">
        <v>19.440000000000001</v>
      </c>
      <c r="B73" s="348">
        <v>19.420000000000002</v>
      </c>
      <c r="C73" s="348">
        <v>57.63</v>
      </c>
      <c r="D73" s="348">
        <v>436.2</v>
      </c>
      <c r="E73" s="242" t="s">
        <v>712</v>
      </c>
      <c r="F73" s="242" t="s">
        <v>713</v>
      </c>
      <c r="G73" s="211" t="str">
        <f>IFERROR(VLOOKUP(F73,[2]Реестр!A:K,2,0),"")</f>
        <v/>
      </c>
      <c r="H73" s="206">
        <v>250</v>
      </c>
      <c r="I73" s="206">
        <v>130.94</v>
      </c>
    </row>
    <row r="74" spans="1:12" ht="18.75" x14ac:dyDescent="0.3">
      <c r="A74" s="263">
        <v>0.18</v>
      </c>
      <c r="B74" s="263">
        <v>0.05</v>
      </c>
      <c r="C74" s="263">
        <v>0.32</v>
      </c>
      <c r="D74" s="263">
        <v>37.582527999999996</v>
      </c>
      <c r="E74" s="242" t="s">
        <v>714</v>
      </c>
      <c r="F74" s="386" t="s">
        <v>328</v>
      </c>
      <c r="G74" s="211">
        <f>IFERROR(VLOOKUP(F74,[2]Реестр!A:K,2,0),"")</f>
        <v>200</v>
      </c>
      <c r="H74" s="206">
        <v>200</v>
      </c>
      <c r="I74" s="207">
        <v>19.54</v>
      </c>
    </row>
    <row r="75" spans="1:12" ht="18.75" x14ac:dyDescent="0.3">
      <c r="A75" s="264">
        <v>3.3</v>
      </c>
      <c r="B75" s="264">
        <v>0.3</v>
      </c>
      <c r="C75" s="264">
        <v>23.4</v>
      </c>
      <c r="D75" s="264">
        <v>112</v>
      </c>
      <c r="E75" s="242" t="str">
        <f>"-"</f>
        <v>-</v>
      </c>
      <c r="F75" s="387" t="s">
        <v>715</v>
      </c>
      <c r="G75" s="211" t="str">
        <f>IFERROR(VLOOKUP(F75,[2]Реестр!A:K,2,0),"")</f>
        <v/>
      </c>
      <c r="H75" s="206">
        <v>50</v>
      </c>
      <c r="I75" s="207">
        <v>4.5</v>
      </c>
    </row>
    <row r="76" spans="1:12" ht="18.75" x14ac:dyDescent="0.3">
      <c r="A76" s="264">
        <v>2</v>
      </c>
      <c r="B76" s="264">
        <v>0.4</v>
      </c>
      <c r="C76" s="264">
        <v>10</v>
      </c>
      <c r="D76" s="264">
        <v>58</v>
      </c>
      <c r="E76" s="381" t="str">
        <f>"-"</f>
        <v>-</v>
      </c>
      <c r="F76" s="381" t="s">
        <v>707</v>
      </c>
      <c r="G76" s="211" t="str">
        <f>IFERROR(VLOOKUP(F76,[2]Реестр!A:K,2,0),"")</f>
        <v/>
      </c>
      <c r="H76" s="206">
        <v>30</v>
      </c>
      <c r="I76" s="207">
        <v>2.7</v>
      </c>
    </row>
    <row r="77" spans="1:12" ht="18.75" x14ac:dyDescent="0.3">
      <c r="A77" s="196"/>
      <c r="B77" s="196"/>
      <c r="C77" s="196"/>
      <c r="D77" s="196"/>
      <c r="E77" s="197"/>
      <c r="F77" s="204"/>
      <c r="G77" s="199"/>
      <c r="H77" s="200"/>
      <c r="I77" s="203"/>
    </row>
    <row r="78" spans="1:12" ht="18.75" x14ac:dyDescent="0.3">
      <c r="A78" s="453" t="s">
        <v>16</v>
      </c>
      <c r="B78" s="454"/>
      <c r="C78" s="454"/>
      <c r="D78" s="454"/>
      <c r="E78" s="454"/>
      <c r="F78" s="455"/>
      <c r="G78" s="205"/>
      <c r="H78" s="206"/>
      <c r="I78" s="207">
        <f>SUM(I72:I77)</f>
        <v>176.93999999999997</v>
      </c>
      <c r="J78" s="215">
        <v>98.52</v>
      </c>
      <c r="L78" s="208">
        <f>J78-I78</f>
        <v>-78.419999999999973</v>
      </c>
    </row>
    <row r="79" spans="1:12" ht="18.75" x14ac:dyDescent="0.25">
      <c r="A79" s="477" t="s">
        <v>35</v>
      </c>
      <c r="B79" s="478"/>
      <c r="C79" s="478"/>
      <c r="D79" s="478"/>
      <c r="E79" s="478"/>
      <c r="F79" s="478"/>
      <c r="G79" s="478"/>
      <c r="H79" s="478"/>
      <c r="I79" s="479"/>
    </row>
    <row r="80" spans="1:12" ht="18.75" x14ac:dyDescent="0.3">
      <c r="A80" s="219">
        <v>7.7</v>
      </c>
      <c r="B80" s="219">
        <v>7.42</v>
      </c>
      <c r="C80" s="219">
        <v>32.090000000000003</v>
      </c>
      <c r="D80" s="219">
        <v>225.88</v>
      </c>
      <c r="E80" s="416" t="s">
        <v>408</v>
      </c>
      <c r="F80" s="406" t="s">
        <v>529</v>
      </c>
      <c r="G80" s="211">
        <f>IFERROR(VLOOKUP(F80,[2]Реестр!A:K,2,0),"")</f>
        <v>100</v>
      </c>
      <c r="H80" s="206">
        <v>80</v>
      </c>
      <c r="I80" s="207">
        <v>50</v>
      </c>
      <c r="K80" s="208"/>
    </row>
    <row r="81" spans="1:12" ht="18.75" x14ac:dyDescent="0.3">
      <c r="A81" s="453" t="s">
        <v>16</v>
      </c>
      <c r="B81" s="454"/>
      <c r="C81" s="454"/>
      <c r="D81" s="454"/>
      <c r="E81" s="454"/>
      <c r="F81" s="455"/>
      <c r="G81" s="205"/>
      <c r="H81" s="206"/>
      <c r="I81" s="207">
        <f>I80</f>
        <v>50</v>
      </c>
      <c r="J81" s="215">
        <v>29</v>
      </c>
    </row>
    <row r="82" spans="1:12" ht="18.75" x14ac:dyDescent="0.3">
      <c r="A82" s="465" t="s">
        <v>36</v>
      </c>
      <c r="B82" s="466"/>
      <c r="C82" s="466"/>
      <c r="D82" s="466"/>
      <c r="E82" s="466"/>
      <c r="F82" s="466"/>
      <c r="G82" s="466"/>
      <c r="H82" s="466"/>
      <c r="I82" s="467"/>
    </row>
    <row r="83" spans="1:12" ht="18.75" x14ac:dyDescent="0.3">
      <c r="A83" s="263">
        <v>4.1100000000000003</v>
      </c>
      <c r="B83" s="263">
        <v>4.7699999999999996</v>
      </c>
      <c r="C83" s="263">
        <v>26.5</v>
      </c>
      <c r="D83" s="263">
        <v>213.5</v>
      </c>
      <c r="E83" s="242" t="s">
        <v>711</v>
      </c>
      <c r="F83" s="242" t="s">
        <v>716</v>
      </c>
      <c r="G83" s="211" t="str">
        <f>IFERROR(VLOOKUP(F83,[2]Реестр!A:K,2,0),"")</f>
        <v/>
      </c>
      <c r="H83" s="206">
        <v>250</v>
      </c>
      <c r="I83" s="207">
        <v>50</v>
      </c>
    </row>
    <row r="84" spans="1:12" ht="18.75" x14ac:dyDescent="0.3">
      <c r="A84" s="453" t="s">
        <v>16</v>
      </c>
      <c r="B84" s="454"/>
      <c r="C84" s="454"/>
      <c r="D84" s="454"/>
      <c r="E84" s="454"/>
      <c r="F84" s="455"/>
      <c r="G84" s="205"/>
      <c r="H84" s="206"/>
      <c r="I84" s="207">
        <f>SUM(I83:I83)</f>
        <v>50</v>
      </c>
      <c r="J84" s="215">
        <v>27</v>
      </c>
    </row>
    <row r="85" spans="1:12" ht="18.75" x14ac:dyDescent="0.3">
      <c r="A85" s="465" t="s">
        <v>503</v>
      </c>
      <c r="B85" s="466"/>
      <c r="C85" s="466"/>
      <c r="D85" s="466"/>
      <c r="E85" s="466"/>
      <c r="F85" s="466"/>
      <c r="G85" s="466"/>
      <c r="H85" s="466"/>
      <c r="I85" s="467"/>
    </row>
    <row r="86" spans="1:12" s="234" customFormat="1" ht="27" customHeight="1" x14ac:dyDescent="0.25">
      <c r="A86" s="383">
        <v>2.2999999999999998</v>
      </c>
      <c r="B86" s="383">
        <v>6.01</v>
      </c>
      <c r="C86" s="383">
        <v>4.01</v>
      </c>
      <c r="D86" s="383">
        <v>72.147796</v>
      </c>
      <c r="E86" s="242" t="s">
        <v>709</v>
      </c>
      <c r="F86" s="242" t="s">
        <v>710</v>
      </c>
      <c r="G86" s="211" t="str">
        <f>IFERROR(VLOOKUP(F86,[2]Реестр!A:K,2,0),"")</f>
        <v/>
      </c>
      <c r="H86" s="210">
        <v>100</v>
      </c>
      <c r="I86" s="230">
        <v>56.17</v>
      </c>
      <c r="J86" s="268"/>
    </row>
    <row r="87" spans="1:12" ht="18.75" x14ac:dyDescent="0.3">
      <c r="A87" s="263">
        <v>4.1100000000000003</v>
      </c>
      <c r="B87" s="263">
        <v>4.7699999999999996</v>
      </c>
      <c r="C87" s="263">
        <v>26.5</v>
      </c>
      <c r="D87" s="263">
        <v>213.5</v>
      </c>
      <c r="E87" s="242" t="s">
        <v>711</v>
      </c>
      <c r="F87" s="242" t="s">
        <v>716</v>
      </c>
      <c r="G87" s="211" t="str">
        <f>IFERROR(VLOOKUP(F87,[2]Реестр!A:K,2,0),"")</f>
        <v/>
      </c>
      <c r="H87" s="206">
        <v>250</v>
      </c>
      <c r="I87" s="207">
        <v>50</v>
      </c>
    </row>
    <row r="88" spans="1:12" ht="18.75" x14ac:dyDescent="0.3">
      <c r="A88" s="348">
        <v>17.5</v>
      </c>
      <c r="B88" s="348">
        <v>15.6</v>
      </c>
      <c r="C88" s="348">
        <v>42.3</v>
      </c>
      <c r="D88" s="348">
        <v>265.7</v>
      </c>
      <c r="E88" s="242" t="s">
        <v>712</v>
      </c>
      <c r="F88" s="242" t="s">
        <v>713</v>
      </c>
      <c r="G88" s="211" t="str">
        <f>IFERROR(VLOOKUP(F88,[2]Реестр!A:K,2,0),"")</f>
        <v/>
      </c>
      <c r="H88" s="206">
        <v>250</v>
      </c>
      <c r="I88" s="206">
        <v>130.94</v>
      </c>
    </row>
    <row r="89" spans="1:12" ht="18.75" x14ac:dyDescent="0.3">
      <c r="A89" s="263">
        <v>3.94</v>
      </c>
      <c r="B89" s="263">
        <v>5.1100000000000003</v>
      </c>
      <c r="C89" s="263">
        <v>27.5</v>
      </c>
      <c r="D89" s="263">
        <v>170.19544859999999</v>
      </c>
      <c r="E89" s="242" t="s">
        <v>714</v>
      </c>
      <c r="F89" s="386" t="s">
        <v>328</v>
      </c>
      <c r="G89" s="211">
        <f>IFERROR(VLOOKUP(F89,[2]Реестр!A:K,2,0),"")</f>
        <v>200</v>
      </c>
      <c r="H89" s="206">
        <v>200</v>
      </c>
      <c r="I89" s="207">
        <v>19.54</v>
      </c>
    </row>
    <row r="90" spans="1:12" ht="18.75" x14ac:dyDescent="0.3">
      <c r="A90" s="264">
        <v>0.14000000000000001</v>
      </c>
      <c r="B90" s="264">
        <v>0.1</v>
      </c>
      <c r="C90" s="264">
        <v>1.5</v>
      </c>
      <c r="D90" s="264">
        <v>83.962620000000015</v>
      </c>
      <c r="E90" s="242" t="s">
        <v>471</v>
      </c>
      <c r="F90" s="242" t="s">
        <v>715</v>
      </c>
      <c r="G90" s="211" t="str">
        <f>IFERROR(VLOOKUP(F90,[2]Реестр!A:K,2,0),"")</f>
        <v/>
      </c>
      <c r="H90" s="206">
        <v>50</v>
      </c>
      <c r="I90" s="207">
        <v>4.5</v>
      </c>
    </row>
    <row r="91" spans="1:12" ht="18.75" x14ac:dyDescent="0.3">
      <c r="A91" s="264">
        <v>3.3</v>
      </c>
      <c r="B91" s="264">
        <v>0.3</v>
      </c>
      <c r="C91" s="264">
        <v>23.4</v>
      </c>
      <c r="D91" s="264">
        <v>112</v>
      </c>
      <c r="E91" s="381" t="s">
        <v>471</v>
      </c>
      <c r="F91" s="381" t="s">
        <v>707</v>
      </c>
      <c r="G91" s="211" t="str">
        <f>IFERROR(VLOOKUP(F91,[2]Реестр!A:K,2,0),"")</f>
        <v/>
      </c>
      <c r="H91" s="206">
        <v>50</v>
      </c>
      <c r="I91" s="207">
        <v>4.25</v>
      </c>
    </row>
    <row r="92" spans="1:12" ht="18.75" x14ac:dyDescent="0.3">
      <c r="A92" s="196"/>
      <c r="B92" s="196"/>
      <c r="C92" s="196"/>
      <c r="D92" s="196"/>
      <c r="E92" s="214"/>
      <c r="F92" s="204"/>
      <c r="G92" s="199"/>
      <c r="H92" s="200"/>
      <c r="I92" s="203"/>
      <c r="K92" s="208"/>
    </row>
    <row r="93" spans="1:12" ht="18.75" x14ac:dyDescent="0.3">
      <c r="A93" s="464" t="s">
        <v>16</v>
      </c>
      <c r="B93" s="464"/>
      <c r="C93" s="464"/>
      <c r="D93" s="464"/>
      <c r="E93" s="464"/>
      <c r="F93" s="464"/>
      <c r="G93" s="205"/>
      <c r="H93" s="206"/>
      <c r="I93" s="207">
        <f>SUM(I86:I92)</f>
        <v>265.40000000000003</v>
      </c>
      <c r="J93" s="215">
        <v>147.79</v>
      </c>
      <c r="L93" s="208">
        <f>J93-I93</f>
        <v>-117.61000000000004</v>
      </c>
    </row>
    <row r="94" spans="1:12" ht="18.75" hidden="1" x14ac:dyDescent="0.3">
      <c r="A94" s="462" t="s">
        <v>544</v>
      </c>
      <c r="B94" s="462"/>
      <c r="C94" s="462"/>
      <c r="D94" s="462"/>
      <c r="E94" s="462"/>
      <c r="F94" s="462"/>
      <c r="G94" s="462"/>
      <c r="H94" s="462"/>
      <c r="I94" s="462"/>
      <c r="K94" s="208"/>
    </row>
    <row r="95" spans="1:12" ht="18.75" hidden="1" customHeight="1" x14ac:dyDescent="0.25">
      <c r="A95" s="209">
        <f>IFERROR(VLOOKUP(F95,[1]Реестр!A:K,3,0)*H95/G95,"")</f>
        <v>5.08</v>
      </c>
      <c r="B95" s="209">
        <f>IFERROR(VLOOKUP(F95,[1]Реестр!A:K,4,0)*H95/G95,"")</f>
        <v>11.55</v>
      </c>
      <c r="C95" s="209">
        <f>IFERROR(VLOOKUP(F95,[1]Реестр!A:K,5,0)*H95/G95,"")</f>
        <v>9.9700000000000006</v>
      </c>
      <c r="D95" s="209">
        <f>IFERROR(VLOOKUP(F95,[1]Реестр!A:K,6,0)*H95/G95,"")</f>
        <v>164.15</v>
      </c>
      <c r="E95" s="210" t="str">
        <f>IFERROR(VLOOKUP(F95,[1]Реестр!A:K,11,0),"")</f>
        <v>1*51</v>
      </c>
      <c r="F95" s="398" t="s">
        <v>91</v>
      </c>
      <c r="G95" s="211" t="str">
        <f>IFERROR(VLOOKUP(F95,[1]Реестр!A:K,2,0),"")</f>
        <v>45</v>
      </c>
      <c r="H95" s="143">
        <v>45</v>
      </c>
      <c r="I95" s="450">
        <v>149.52000000000001</v>
      </c>
      <c r="K95" s="208"/>
    </row>
    <row r="96" spans="1:12" ht="33.75" hidden="1" customHeight="1" x14ac:dyDescent="0.25">
      <c r="A96" s="209">
        <f>IFERROR(VLOOKUP(F96,[1]Реестр!A:K,3,0)*H96/G96,"")</f>
        <v>6.3749999999999991</v>
      </c>
      <c r="B96" s="209">
        <f>IFERROR(VLOOKUP(F96,[1]Реестр!A:K,4,0)*H96/G96,"")</f>
        <v>5.7499999999999991</v>
      </c>
      <c r="C96" s="209">
        <f>IFERROR(VLOOKUP(F96,[1]Реестр!A:K,5,0)*H96/G96,"")</f>
        <v>0.375</v>
      </c>
      <c r="D96" s="209">
        <f>IFERROR(VLOOKUP(F96,[1]Реестр!A:K,6,0)*H96/G96,"")</f>
        <v>78.75</v>
      </c>
      <c r="E96" s="210" t="str">
        <f>IFERROR(VLOOKUP(F96,[1]Реестр!A:K,11,0),"")</f>
        <v>4*57</v>
      </c>
      <c r="F96" s="398" t="s">
        <v>162</v>
      </c>
      <c r="G96" s="211" t="str">
        <f>IFERROR(VLOOKUP(F96,[1]Реестр!A:K,2,0),"")</f>
        <v>40</v>
      </c>
      <c r="H96" s="143">
        <v>50</v>
      </c>
      <c r="I96" s="451"/>
      <c r="K96" s="208"/>
    </row>
    <row r="97" spans="1:12" ht="45" hidden="1" customHeight="1" x14ac:dyDescent="0.25">
      <c r="A97" s="243">
        <v>6.26</v>
      </c>
      <c r="B97" s="243">
        <v>5.9</v>
      </c>
      <c r="C97" s="243">
        <v>28.4</v>
      </c>
      <c r="D97" s="243">
        <v>194.19400152</v>
      </c>
      <c r="E97" s="228" t="str">
        <f>"2/68"</f>
        <v>2/68</v>
      </c>
      <c r="F97" s="228" t="s">
        <v>666</v>
      </c>
      <c r="G97" s="211" t="str">
        <f>IFERROR(VLOOKUP(F97,[1]Реестр!A:K,2,0),"")</f>
        <v/>
      </c>
      <c r="H97" s="143">
        <v>200</v>
      </c>
      <c r="I97" s="451"/>
      <c r="K97" s="208"/>
    </row>
    <row r="98" spans="1:12" ht="30" hidden="1" customHeight="1" x14ac:dyDescent="0.25">
      <c r="A98" s="243">
        <v>2.74</v>
      </c>
      <c r="B98" s="243">
        <v>2.2000000000000002</v>
      </c>
      <c r="C98" s="243">
        <v>4.8899999999999997</v>
      </c>
      <c r="D98" s="243">
        <v>49.717531084999983</v>
      </c>
      <c r="E98" s="228" t="str">
        <f>"11/59 (2004 № 692)"</f>
        <v>11/59 (2004 № 692)</v>
      </c>
      <c r="F98" s="228" t="s">
        <v>667</v>
      </c>
      <c r="G98" s="211">
        <f>IFERROR(VLOOKUP(F98,[1]Реестр!A:K,2,0),"")</f>
        <v>200</v>
      </c>
      <c r="H98" s="143" t="str">
        <f>"200"</f>
        <v>200</v>
      </c>
      <c r="I98" s="451"/>
      <c r="K98" s="208"/>
    </row>
    <row r="99" spans="1:12" ht="18.75" hidden="1" customHeight="1" x14ac:dyDescent="0.25">
      <c r="A99" s="209">
        <f>IFERROR(VLOOKUP(F99,[1]Реестр!A:K,3,0)*H99/G99,"")</f>
        <v>1.32</v>
      </c>
      <c r="B99" s="209">
        <f>IFERROR(VLOOKUP(F99,[1]Реестр!A:K,4,0)*H99/G99,"")</f>
        <v>0.24</v>
      </c>
      <c r="C99" s="209">
        <f>IFERROR(VLOOKUP(F99,[1]Реестр!A:K,5,0)*H99/G99,"")</f>
        <v>6.68</v>
      </c>
      <c r="D99" s="209">
        <f>IFERROR(VLOOKUP(F99,[1]Реестр!A:K,6,0)*H99/G99,"")</f>
        <v>38.6</v>
      </c>
      <c r="E99" s="210" t="str">
        <f>IFERROR(VLOOKUP(F99,[1]Реестр!A:K,11,0),"")</f>
        <v>-</v>
      </c>
      <c r="F99" s="217" t="s">
        <v>65</v>
      </c>
      <c r="G99" s="211" t="str">
        <f>IFERROR(VLOOKUP(F99,[1]Реестр!A:K,2,0),"")</f>
        <v>100</v>
      </c>
      <c r="H99" s="229" t="str">
        <f>"20"</f>
        <v>20</v>
      </c>
      <c r="I99" s="452"/>
      <c r="K99" s="208"/>
    </row>
    <row r="100" spans="1:12" ht="18.75" hidden="1" x14ac:dyDescent="0.3">
      <c r="A100" s="464" t="s">
        <v>16</v>
      </c>
      <c r="B100" s="464"/>
      <c r="C100" s="464"/>
      <c r="D100" s="464"/>
      <c r="E100" s="464"/>
      <c r="F100" s="464"/>
      <c r="G100" s="205"/>
      <c r="H100" s="206"/>
      <c r="I100" s="207">
        <f>SUM(I95:I99)</f>
        <v>149.52000000000001</v>
      </c>
      <c r="K100" s="208"/>
    </row>
    <row r="101" spans="1:12" ht="18.75" hidden="1" x14ac:dyDescent="0.3">
      <c r="A101" s="462" t="s">
        <v>545</v>
      </c>
      <c r="B101" s="462"/>
      <c r="C101" s="462"/>
      <c r="D101" s="462"/>
      <c r="E101" s="462"/>
      <c r="F101" s="462"/>
      <c r="G101" s="462"/>
      <c r="H101" s="462"/>
      <c r="I101" s="462"/>
      <c r="J101" s="215">
        <v>85.2</v>
      </c>
      <c r="K101" s="208"/>
      <c r="L101" s="208">
        <f>J101-I101</f>
        <v>85.2</v>
      </c>
    </row>
    <row r="102" spans="1:12" ht="18.75" hidden="1" customHeight="1" x14ac:dyDescent="0.25">
      <c r="A102" s="209">
        <f>IFERROR(VLOOKUP(F102,[1]Реестр!A:K,3,0)*H102/G102,"")</f>
        <v>6.3749999999999991</v>
      </c>
      <c r="B102" s="209">
        <f>IFERROR(VLOOKUP(F102,[1]Реестр!A:K,4,0)*H102/G102,"")</f>
        <v>5.7499999999999991</v>
      </c>
      <c r="C102" s="209">
        <f>IFERROR(VLOOKUP(F102,[1]Реестр!A:K,5,0)*H102/G102,"")</f>
        <v>0.375</v>
      </c>
      <c r="D102" s="209">
        <f>IFERROR(VLOOKUP(F102,[1]Реестр!A:K,6,0)*H102/G102,"")</f>
        <v>78.75</v>
      </c>
      <c r="E102" s="210" t="str">
        <f>IFERROR(VLOOKUP(F102,[1]Реестр!A:K,11,0),"")</f>
        <v>4*57</v>
      </c>
      <c r="F102" s="398" t="s">
        <v>162</v>
      </c>
      <c r="G102" s="211" t="str">
        <f>IFERROR(VLOOKUP(F102,[1]Реестр!A:K,2,0),"")</f>
        <v>40</v>
      </c>
      <c r="H102" s="143">
        <v>50</v>
      </c>
      <c r="I102" s="450">
        <v>149.52000000000001</v>
      </c>
      <c r="K102" s="208"/>
    </row>
    <row r="103" spans="1:12" ht="18.75" hidden="1" customHeight="1" x14ac:dyDescent="0.25">
      <c r="A103" s="243">
        <v>6.03</v>
      </c>
      <c r="B103" s="243">
        <v>12.83</v>
      </c>
      <c r="C103" s="243">
        <v>34.92</v>
      </c>
      <c r="D103" s="243">
        <v>275.69060599999995</v>
      </c>
      <c r="E103" s="228" t="str">
        <f>"2/78"</f>
        <v>2/78</v>
      </c>
      <c r="F103" s="228" t="s">
        <v>668</v>
      </c>
      <c r="G103" s="211" t="str">
        <f>IFERROR(VLOOKUP(F103,[1]Реестр!A:K,2,0),"")</f>
        <v/>
      </c>
      <c r="H103" s="143">
        <v>200</v>
      </c>
      <c r="I103" s="451"/>
      <c r="K103" s="208"/>
    </row>
    <row r="104" spans="1:12" ht="18.75" hidden="1" customHeight="1" x14ac:dyDescent="0.25">
      <c r="A104" s="209">
        <f>IFERROR(VLOOKUP(F104,[1]Реестр!A:K,3,0)*H104/G104,"")</f>
        <v>0.17499999999999999</v>
      </c>
      <c r="B104" s="209">
        <f>IFERROR(VLOOKUP(F104,[1]Реестр!A:K,4,0)*H104/G104,"")</f>
        <v>0.105</v>
      </c>
      <c r="C104" s="209">
        <f>IFERROR(VLOOKUP(F104,[1]Реестр!A:K,5,0)*H104/G104,"")</f>
        <v>10.01</v>
      </c>
      <c r="D104" s="209">
        <f>IFERROR(VLOOKUP(F104,[1]Реестр!A:K,6,0)*H104/G104,"")</f>
        <v>40.6</v>
      </c>
      <c r="E104" s="210" t="str">
        <f>IFERROR(VLOOKUP(F104,[1]Реестр!A:K,11,0),"")</f>
        <v>12*2</v>
      </c>
      <c r="F104" s="398" t="s">
        <v>371</v>
      </c>
      <c r="G104" s="211" t="str">
        <f>IFERROR(VLOOKUP(F104,[1]Реестр!A:K,2,0),"")</f>
        <v>100</v>
      </c>
      <c r="H104" s="143">
        <v>35</v>
      </c>
      <c r="I104" s="451"/>
      <c r="K104" s="208"/>
    </row>
    <row r="105" spans="1:12" ht="18.75" hidden="1" customHeight="1" x14ac:dyDescent="0.25">
      <c r="A105" s="243">
        <v>0.18</v>
      </c>
      <c r="B105" s="243">
        <v>0.04</v>
      </c>
      <c r="C105" s="243">
        <v>13.75</v>
      </c>
      <c r="D105" s="243">
        <v>53.136642799999997</v>
      </c>
      <c r="E105" s="210" t="s">
        <v>353</v>
      </c>
      <c r="F105" s="228" t="s">
        <v>563</v>
      </c>
      <c r="G105" s="211" t="str">
        <f>IFERROR(VLOOKUP(F105,[1]Реестр!A:K,2,0),"")</f>
        <v/>
      </c>
      <c r="H105" s="143" t="str">
        <f>"200"</f>
        <v>200</v>
      </c>
      <c r="I105" s="451"/>
      <c r="K105" s="208"/>
    </row>
    <row r="106" spans="1:12" ht="18.75" hidden="1" customHeight="1" x14ac:dyDescent="0.25">
      <c r="A106" s="209">
        <f>IFERROR(VLOOKUP(F106,[1]Реестр!A:K,3,0)*H106/G106,"")</f>
        <v>1.32</v>
      </c>
      <c r="B106" s="209">
        <f>IFERROR(VLOOKUP(F106,[1]Реестр!A:K,4,0)*H106/G106,"")</f>
        <v>0.24</v>
      </c>
      <c r="C106" s="209">
        <f>IFERROR(VLOOKUP(F106,[1]Реестр!A:K,5,0)*H106/G106,"")</f>
        <v>6.68</v>
      </c>
      <c r="D106" s="209">
        <f>IFERROR(VLOOKUP(F106,[1]Реестр!A:K,6,0)*H106/G106,"")</f>
        <v>38.6</v>
      </c>
      <c r="E106" s="210" t="str">
        <f>IFERROR(VLOOKUP(F106,[1]Реестр!A:K,11,0),"")</f>
        <v>-</v>
      </c>
      <c r="F106" s="217" t="s">
        <v>65</v>
      </c>
      <c r="G106" s="211" t="str">
        <f>IFERROR(VLOOKUP(F106,[1]Реестр!A:K,2,0),"")</f>
        <v>100</v>
      </c>
      <c r="H106" s="229" t="str">
        <f>"20"</f>
        <v>20</v>
      </c>
      <c r="I106" s="451"/>
      <c r="K106" s="208"/>
    </row>
    <row r="107" spans="1:12" ht="18.75" hidden="1" customHeight="1" x14ac:dyDescent="0.3">
      <c r="A107" s="209">
        <f>IFERROR(VLOOKUP(F107,[1]Реестр!A:K,3,0)*H107/G107,"")</f>
        <v>1.32</v>
      </c>
      <c r="B107" s="209">
        <f>IFERROR(VLOOKUP(F107,[1]Реестр!A:K,4,0)*H107/G107,"")</f>
        <v>0.12</v>
      </c>
      <c r="C107" s="209">
        <f>IFERROR(VLOOKUP(F107,[1]Реестр!A:K,5,0)*H107/G107,"")</f>
        <v>9.36</v>
      </c>
      <c r="D107" s="209">
        <f>IFERROR(VLOOKUP(F107,[1]Реестр!A:K,6,0)*H107/G107,"")</f>
        <v>44.8</v>
      </c>
      <c r="E107" s="210" t="str">
        <f>IFERROR(VLOOKUP(F107,[1]Реестр!A:K,11,0),"")</f>
        <v>-</v>
      </c>
      <c r="F107" s="217" t="s">
        <v>66</v>
      </c>
      <c r="G107" s="211" t="str">
        <f>IFERROR(VLOOKUP(F107,[1]Реестр!A:K,2,0),"")</f>
        <v>100</v>
      </c>
      <c r="H107" s="206">
        <v>20</v>
      </c>
      <c r="I107" s="452"/>
      <c r="K107" s="208"/>
    </row>
    <row r="108" spans="1:12" ht="18.75" hidden="1" x14ac:dyDescent="0.3">
      <c r="A108" s="464" t="s">
        <v>16</v>
      </c>
      <c r="B108" s="464"/>
      <c r="C108" s="464"/>
      <c r="D108" s="464"/>
      <c r="E108" s="464"/>
      <c r="F108" s="464"/>
      <c r="G108" s="205"/>
      <c r="H108" s="206"/>
      <c r="I108" s="207">
        <f>SUM(I102)</f>
        <v>149.52000000000001</v>
      </c>
      <c r="K108" s="208"/>
    </row>
    <row r="109" spans="1:12" ht="18.75" hidden="1" x14ac:dyDescent="0.3">
      <c r="A109" s="462" t="s">
        <v>566</v>
      </c>
      <c r="B109" s="462"/>
      <c r="C109" s="462"/>
      <c r="D109" s="462"/>
      <c r="E109" s="462"/>
      <c r="F109" s="462"/>
      <c r="G109" s="462"/>
      <c r="H109" s="462"/>
      <c r="I109" s="462"/>
      <c r="K109" s="208"/>
    </row>
    <row r="110" spans="1:12" ht="18.75" hidden="1" customHeight="1" x14ac:dyDescent="0.25">
      <c r="A110" s="367">
        <v>1.03</v>
      </c>
      <c r="B110" s="396">
        <v>4.7699999999999996</v>
      </c>
      <c r="C110" s="396">
        <v>6.38</v>
      </c>
      <c r="D110" s="396">
        <v>68.989999999999995</v>
      </c>
      <c r="E110" s="357" t="str">
        <f>"7/80"</f>
        <v>7/80</v>
      </c>
      <c r="F110" s="228" t="s">
        <v>678</v>
      </c>
      <c r="G110" s="211" t="str">
        <f>IFERROR(VLOOKUP(F110,[2]Реестр!A:K,2,0),"")</f>
        <v/>
      </c>
      <c r="H110" s="263" t="s">
        <v>81</v>
      </c>
      <c r="I110" s="450">
        <v>224.27</v>
      </c>
      <c r="K110" s="208"/>
    </row>
    <row r="111" spans="1:12" ht="30" hidden="1" customHeight="1" x14ac:dyDescent="0.25">
      <c r="A111" s="263">
        <v>12.44</v>
      </c>
      <c r="B111" s="263">
        <v>7.77</v>
      </c>
      <c r="C111" s="263">
        <v>25.16</v>
      </c>
      <c r="D111" s="263">
        <v>208</v>
      </c>
      <c r="E111" s="228" t="str">
        <f>"6/57 (2004 № 139)"</f>
        <v>6/57 (2004 № 139)</v>
      </c>
      <c r="F111" s="228" t="s">
        <v>603</v>
      </c>
      <c r="G111" s="211" t="str">
        <f>IFERROR(VLOOKUP(F111,[2]Реестр!A:K,2,0),"")</f>
        <v/>
      </c>
      <c r="H111" s="243" t="str">
        <f>"250"</f>
        <v>250</v>
      </c>
      <c r="I111" s="451"/>
      <c r="K111" s="208"/>
    </row>
    <row r="112" spans="1:12" ht="18.75" hidden="1" customHeight="1" x14ac:dyDescent="0.25">
      <c r="A112" s="263">
        <v>16.579999999999998</v>
      </c>
      <c r="B112" s="263">
        <v>19.5</v>
      </c>
      <c r="C112" s="263">
        <v>68.38</v>
      </c>
      <c r="D112" s="263">
        <v>327.07</v>
      </c>
      <c r="E112" s="349" t="str">
        <f>"8/35"</f>
        <v>8/35</v>
      </c>
      <c r="F112" s="349" t="s">
        <v>549</v>
      </c>
      <c r="G112" s="211"/>
      <c r="H112" s="266">
        <v>200</v>
      </c>
      <c r="I112" s="451"/>
      <c r="K112" s="208"/>
    </row>
    <row r="113" spans="1:11" ht="18.75" hidden="1" customHeight="1" x14ac:dyDescent="0.25">
      <c r="A113" s="263">
        <v>0.14000000000000001</v>
      </c>
      <c r="B113" s="263">
        <v>0.1</v>
      </c>
      <c r="C113" s="263">
        <v>11</v>
      </c>
      <c r="D113" s="263">
        <v>83.962620000000015</v>
      </c>
      <c r="E113" s="228" t="str">
        <f>"11/73"</f>
        <v>11/73</v>
      </c>
      <c r="F113" s="228" t="s">
        <v>669</v>
      </c>
      <c r="G113" s="211"/>
      <c r="H113" s="263" t="s">
        <v>118</v>
      </c>
      <c r="I113" s="451"/>
      <c r="K113" s="208"/>
    </row>
    <row r="114" spans="1:11" ht="18.75" hidden="1" customHeight="1" x14ac:dyDescent="0.25">
      <c r="A114" s="264">
        <v>2.64</v>
      </c>
      <c r="B114" s="264">
        <v>0.48</v>
      </c>
      <c r="C114" s="264">
        <v>16.68</v>
      </c>
      <c r="D114" s="264">
        <v>77.352000000000004</v>
      </c>
      <c r="E114" s="228" t="str">
        <f>"-"</f>
        <v>-</v>
      </c>
      <c r="F114" s="217" t="s">
        <v>66</v>
      </c>
      <c r="G114" s="211"/>
      <c r="H114" s="264" t="str">
        <f>"40"</f>
        <v>40</v>
      </c>
      <c r="I114" s="451"/>
      <c r="K114" s="208"/>
    </row>
    <row r="115" spans="1:11" ht="18.75" hidden="1" customHeight="1" x14ac:dyDescent="0.25">
      <c r="A115" s="264">
        <v>2.64</v>
      </c>
      <c r="B115" s="264">
        <v>0.48</v>
      </c>
      <c r="C115" s="264">
        <v>16.68</v>
      </c>
      <c r="D115" s="264">
        <v>77.352000000000004</v>
      </c>
      <c r="E115" s="265" t="str">
        <f>"-"</f>
        <v>-</v>
      </c>
      <c r="F115" s="217" t="s">
        <v>65</v>
      </c>
      <c r="G115" s="211" t="str">
        <f>IFERROR(VLOOKUP(F115,[2]Реестр!A:K,2,0),"")</f>
        <v>100</v>
      </c>
      <c r="H115" s="264" t="str">
        <f>"40"</f>
        <v>40</v>
      </c>
      <c r="I115" s="451"/>
      <c r="K115" s="208"/>
    </row>
    <row r="116" spans="1:11" ht="18.75" hidden="1" customHeight="1" x14ac:dyDescent="0.25">
      <c r="A116" s="241"/>
      <c r="B116" s="241"/>
      <c r="C116" s="241"/>
      <c r="D116" s="241"/>
      <c r="E116" s="265"/>
      <c r="F116" s="217"/>
      <c r="G116" s="211"/>
      <c r="H116" s="269"/>
      <c r="I116" s="451"/>
      <c r="K116" s="208"/>
    </row>
    <row r="117" spans="1:11" ht="18.75" hidden="1" x14ac:dyDescent="0.3">
      <c r="A117" s="464" t="s">
        <v>16</v>
      </c>
      <c r="B117" s="464"/>
      <c r="C117" s="464"/>
      <c r="D117" s="464"/>
      <c r="E117" s="464"/>
      <c r="F117" s="464"/>
      <c r="G117" s="205"/>
      <c r="H117" s="206"/>
      <c r="I117" s="207">
        <f>SUM(I110:I116)</f>
        <v>224.27</v>
      </c>
      <c r="K117" s="208"/>
    </row>
    <row r="118" spans="1:11" ht="18.75" hidden="1" x14ac:dyDescent="0.3">
      <c r="A118" s="462" t="s">
        <v>550</v>
      </c>
      <c r="B118" s="462"/>
      <c r="C118" s="462"/>
      <c r="D118" s="462"/>
      <c r="E118" s="462"/>
      <c r="F118" s="462"/>
      <c r="G118" s="462"/>
      <c r="H118" s="462"/>
      <c r="I118" s="462"/>
      <c r="K118" s="208"/>
    </row>
    <row r="119" spans="1:11" ht="31.5" hidden="1" customHeight="1" x14ac:dyDescent="0.25">
      <c r="A119" s="367">
        <v>1.03</v>
      </c>
      <c r="B119" s="396">
        <v>4.7699999999999996</v>
      </c>
      <c r="C119" s="396">
        <v>6.38</v>
      </c>
      <c r="D119" s="396">
        <v>68.989999999999995</v>
      </c>
      <c r="E119" s="357" t="str">
        <f>"7/80"</f>
        <v>7/80</v>
      </c>
      <c r="F119" s="228" t="s">
        <v>678</v>
      </c>
      <c r="G119" s="211" t="str">
        <f>IFERROR(VLOOKUP(F119,[2]Реестр!A:K,2,0),"")</f>
        <v/>
      </c>
      <c r="H119" s="210">
        <v>80</v>
      </c>
      <c r="I119" s="450">
        <v>224.27</v>
      </c>
      <c r="K119" s="208"/>
    </row>
    <row r="120" spans="1:11" ht="18.75" hidden="1" customHeight="1" x14ac:dyDescent="0.3">
      <c r="A120" s="263">
        <v>5.55</v>
      </c>
      <c r="B120" s="263">
        <v>12.08</v>
      </c>
      <c r="C120" s="263">
        <v>17.95</v>
      </c>
      <c r="D120" s="263">
        <v>199.78905478333331</v>
      </c>
      <c r="E120" s="227" t="str">
        <f>"6/70-1"</f>
        <v>6/70-1</v>
      </c>
      <c r="F120" s="228" t="s">
        <v>670</v>
      </c>
      <c r="G120" s="211" t="str">
        <f>IFERROR(VLOOKUP(F120,[2]Реестр!A:K,2,0),"")</f>
        <v>300</v>
      </c>
      <c r="H120" s="206">
        <v>250</v>
      </c>
      <c r="I120" s="451"/>
      <c r="K120" s="208"/>
    </row>
    <row r="121" spans="1:11" ht="18.75" hidden="1" customHeight="1" x14ac:dyDescent="0.3">
      <c r="A121" s="263">
        <v>16.579999999999998</v>
      </c>
      <c r="B121" s="263">
        <v>19.5</v>
      </c>
      <c r="C121" s="263">
        <v>68.38</v>
      </c>
      <c r="D121" s="263">
        <v>327.07</v>
      </c>
      <c r="E121" s="349" t="str">
        <f>"8/35"</f>
        <v>8/35</v>
      </c>
      <c r="F121" s="349" t="s">
        <v>549</v>
      </c>
      <c r="G121" s="211" t="str">
        <f>IFERROR(VLOOKUP(F121,[2]Реестр!A:K,2,0),"")</f>
        <v/>
      </c>
      <c r="H121" s="206">
        <v>200</v>
      </c>
      <c r="I121" s="451"/>
      <c r="K121" s="208"/>
    </row>
    <row r="122" spans="1:11" ht="18.75" hidden="1" customHeight="1" x14ac:dyDescent="0.3">
      <c r="A122" s="263">
        <v>0.14000000000000001</v>
      </c>
      <c r="B122" s="263">
        <v>0.1</v>
      </c>
      <c r="C122" s="263">
        <v>1.5</v>
      </c>
      <c r="D122" s="263">
        <v>83.962620000000015</v>
      </c>
      <c r="E122" s="349" t="str">
        <f>"11/1"</f>
        <v>11/1</v>
      </c>
      <c r="F122" s="349" t="s">
        <v>317</v>
      </c>
      <c r="G122" s="211">
        <f>IFERROR(VLOOKUP(F122,[2]Реестр!A:K,2,0),"")</f>
        <v>200</v>
      </c>
      <c r="H122" s="206">
        <v>200</v>
      </c>
      <c r="I122" s="451"/>
      <c r="K122" s="208"/>
    </row>
    <row r="123" spans="1:11" ht="18.75" hidden="1" customHeight="1" x14ac:dyDescent="0.3">
      <c r="A123" s="209">
        <v>2.64</v>
      </c>
      <c r="B123" s="209">
        <v>0.24</v>
      </c>
      <c r="C123" s="209">
        <v>18.72</v>
      </c>
      <c r="D123" s="209">
        <v>89.6</v>
      </c>
      <c r="E123" s="210" t="s">
        <v>471</v>
      </c>
      <c r="F123" s="217" t="s">
        <v>66</v>
      </c>
      <c r="G123" s="211" t="str">
        <f>IFERROR(VLOOKUP(F123,[2]Реестр!A:K,2,0),"")</f>
        <v>100</v>
      </c>
      <c r="H123" s="206">
        <v>40</v>
      </c>
      <c r="I123" s="451"/>
      <c r="K123" s="208"/>
    </row>
    <row r="124" spans="1:11" ht="18.75" hidden="1" customHeight="1" x14ac:dyDescent="0.3">
      <c r="A124" s="209">
        <v>2.64</v>
      </c>
      <c r="B124" s="209">
        <v>0.48</v>
      </c>
      <c r="C124" s="209">
        <v>13.36</v>
      </c>
      <c r="D124" s="209">
        <v>77.2</v>
      </c>
      <c r="E124" s="210" t="s">
        <v>471</v>
      </c>
      <c r="F124" s="217" t="s">
        <v>65</v>
      </c>
      <c r="G124" s="211" t="str">
        <f>IFERROR(VLOOKUP(F124,[2]Реестр!A:K,2,0),"")</f>
        <v>100</v>
      </c>
      <c r="H124" s="206">
        <v>40</v>
      </c>
      <c r="I124" s="451"/>
      <c r="K124" s="208"/>
    </row>
    <row r="125" spans="1:11" ht="18.75" hidden="1" customHeight="1" x14ac:dyDescent="0.25">
      <c r="A125" s="246"/>
      <c r="B125" s="246"/>
      <c r="C125" s="246"/>
      <c r="D125" s="246"/>
      <c r="E125" s="247"/>
      <c r="F125" s="204"/>
      <c r="G125" s="199"/>
      <c r="H125" s="246"/>
      <c r="I125" s="451"/>
      <c r="K125" s="208"/>
    </row>
    <row r="126" spans="1:11" ht="18.75" hidden="1" x14ac:dyDescent="0.3">
      <c r="A126" s="464" t="s">
        <v>16</v>
      </c>
      <c r="B126" s="464"/>
      <c r="C126" s="464"/>
      <c r="D126" s="464"/>
      <c r="E126" s="464"/>
      <c r="F126" s="464"/>
      <c r="G126" s="205"/>
      <c r="H126" s="206"/>
      <c r="I126" s="207">
        <f>SUM(I119)</f>
        <v>224.27</v>
      </c>
      <c r="K126" s="208"/>
    </row>
    <row r="127" spans="1:11" ht="18.75" x14ac:dyDescent="0.3">
      <c r="A127" s="462" t="s">
        <v>600</v>
      </c>
      <c r="B127" s="462"/>
      <c r="C127" s="462"/>
      <c r="D127" s="462"/>
      <c r="E127" s="462"/>
      <c r="F127" s="462"/>
      <c r="G127" s="462"/>
      <c r="H127" s="462"/>
      <c r="I127" s="462"/>
      <c r="K127" s="208"/>
    </row>
    <row r="128" spans="1:11" ht="18.75" x14ac:dyDescent="0.25">
      <c r="A128" s="243">
        <v>3.76</v>
      </c>
      <c r="B128" s="243">
        <v>3.05</v>
      </c>
      <c r="C128" s="243">
        <v>13.8</v>
      </c>
      <c r="D128" s="243">
        <v>93.762559999999993</v>
      </c>
      <c r="E128" s="242" t="s">
        <v>732</v>
      </c>
      <c r="F128" s="387" t="s">
        <v>706</v>
      </c>
      <c r="G128" s="211" t="str">
        <f>IFERROR(VLOOKUP(F128,[2]Реестр!A:K,2,0),"")</f>
        <v/>
      </c>
      <c r="H128" s="391">
        <v>30</v>
      </c>
      <c r="I128" s="450">
        <v>176.94</v>
      </c>
      <c r="K128" s="208"/>
    </row>
    <row r="129" spans="1:11" ht="18.75" x14ac:dyDescent="0.25">
      <c r="A129" s="243">
        <v>13.79</v>
      </c>
      <c r="B129" s="243">
        <v>20.23</v>
      </c>
      <c r="C129" s="243">
        <v>3.57</v>
      </c>
      <c r="D129" s="243">
        <v>251.02964924999998</v>
      </c>
      <c r="E129" s="242" t="s">
        <v>733</v>
      </c>
      <c r="F129" s="387" t="s">
        <v>705</v>
      </c>
      <c r="G129" s="211" t="str">
        <f>IFERROR(VLOOKUP(F129,[2]Реестр!A:K,2,0),"")</f>
        <v/>
      </c>
      <c r="H129" s="391">
        <v>200</v>
      </c>
      <c r="I129" s="451"/>
      <c r="K129" s="208"/>
    </row>
    <row r="130" spans="1:11" ht="18.75" x14ac:dyDescent="0.25">
      <c r="A130" s="243">
        <v>0.18</v>
      </c>
      <c r="B130" s="243">
        <v>0.04</v>
      </c>
      <c r="C130" s="243">
        <v>13.75</v>
      </c>
      <c r="D130" s="243">
        <v>53.136642799999997</v>
      </c>
      <c r="E130" s="242" t="s">
        <v>734</v>
      </c>
      <c r="F130" s="387" t="s">
        <v>632</v>
      </c>
      <c r="G130" s="211" t="str">
        <f>IFERROR(VLOOKUP(F130,[2]Реестр!A:K,2,0),"")</f>
        <v/>
      </c>
      <c r="H130" s="391">
        <v>200</v>
      </c>
      <c r="I130" s="451"/>
      <c r="K130" s="208"/>
    </row>
    <row r="131" spans="1:11" ht="18.75" x14ac:dyDescent="0.25">
      <c r="A131" s="241">
        <v>1.32</v>
      </c>
      <c r="B131" s="241">
        <v>0.24</v>
      </c>
      <c r="C131" s="241">
        <v>8.34</v>
      </c>
      <c r="D131" s="241">
        <v>38.676000000000002</v>
      </c>
      <c r="E131" s="381" t="str">
        <f>"-"</f>
        <v>-</v>
      </c>
      <c r="F131" s="381" t="s">
        <v>707</v>
      </c>
      <c r="G131" s="211" t="str">
        <f>IFERROR(VLOOKUP(F131,[2]Реестр!A:K,2,0),"")</f>
        <v/>
      </c>
      <c r="H131" s="391">
        <v>30</v>
      </c>
      <c r="I131" s="451"/>
      <c r="K131" s="208"/>
    </row>
    <row r="132" spans="1:11" ht="18.75" x14ac:dyDescent="0.25">
      <c r="A132" s="241">
        <v>1.32</v>
      </c>
      <c r="B132" s="241">
        <v>0.24</v>
      </c>
      <c r="C132" s="241">
        <v>0</v>
      </c>
      <c r="D132" s="241">
        <v>38.676000000000002</v>
      </c>
      <c r="E132" s="381" t="s">
        <v>471</v>
      </c>
      <c r="F132" s="381" t="s">
        <v>708</v>
      </c>
      <c r="G132" s="211" t="str">
        <f>IFERROR(VLOOKUP(F132,[2]Реестр!A:K,2,0),"")</f>
        <v/>
      </c>
      <c r="H132" s="392">
        <v>130</v>
      </c>
      <c r="I132" s="452"/>
      <c r="K132" s="208"/>
    </row>
    <row r="133" spans="1:11" ht="18.75" x14ac:dyDescent="0.3">
      <c r="A133" s="464" t="s">
        <v>16</v>
      </c>
      <c r="B133" s="464"/>
      <c r="C133" s="464"/>
      <c r="D133" s="464"/>
      <c r="E133" s="464"/>
      <c r="F133" s="464"/>
      <c r="G133" s="205"/>
      <c r="H133" s="206"/>
      <c r="I133" s="207">
        <f>SUM(I128:I132)</f>
        <v>176.94</v>
      </c>
      <c r="K133" s="208"/>
    </row>
    <row r="134" spans="1:11" ht="18.75" x14ac:dyDescent="0.3">
      <c r="A134" s="462" t="s">
        <v>623</v>
      </c>
      <c r="B134" s="462"/>
      <c r="C134" s="462"/>
      <c r="D134" s="462"/>
      <c r="E134" s="462"/>
      <c r="F134" s="462"/>
      <c r="G134" s="462"/>
      <c r="H134" s="462"/>
      <c r="I134" s="462"/>
      <c r="K134" s="208"/>
    </row>
    <row r="135" spans="1:11" ht="30" x14ac:dyDescent="0.25">
      <c r="A135" s="417">
        <v>0.7</v>
      </c>
      <c r="B135" s="243">
        <v>4.8099999999999996</v>
      </c>
      <c r="C135" s="243">
        <v>1.6</v>
      </c>
      <c r="D135" s="243">
        <v>57.718236800000007</v>
      </c>
      <c r="E135" s="242" t="str">
        <f>"7/13/1"</f>
        <v>7/13/1</v>
      </c>
      <c r="F135" s="242" t="s">
        <v>736</v>
      </c>
      <c r="G135" s="211" t="str">
        <f>IFERROR(VLOOKUP(F135,[2]Реестр!A:K,2,0),"")</f>
        <v/>
      </c>
      <c r="H135" s="397">
        <v>100</v>
      </c>
      <c r="I135" s="450">
        <v>265.39999999999998</v>
      </c>
      <c r="K135" s="208"/>
    </row>
    <row r="136" spans="1:11" ht="18.75" x14ac:dyDescent="0.25">
      <c r="A136" s="263">
        <v>4.1100000000000003</v>
      </c>
      <c r="B136" s="263">
        <v>4.7699999999999996</v>
      </c>
      <c r="C136" s="263">
        <v>39.56</v>
      </c>
      <c r="D136" s="263">
        <v>235.36</v>
      </c>
      <c r="E136" s="242" t="s">
        <v>711</v>
      </c>
      <c r="F136" s="242" t="s">
        <v>737</v>
      </c>
      <c r="G136" s="94" t="str">
        <f>IFERROR(VLOOKUP(F136,[2]Реестр!A:K,2,0),"")</f>
        <v/>
      </c>
      <c r="H136" s="401">
        <v>250</v>
      </c>
      <c r="I136" s="451"/>
      <c r="K136" s="208"/>
    </row>
    <row r="137" spans="1:11" ht="18.75" x14ac:dyDescent="0.25">
      <c r="A137" s="263">
        <v>15.55</v>
      </c>
      <c r="B137" s="263">
        <v>15.9</v>
      </c>
      <c r="C137" s="263">
        <v>90.5</v>
      </c>
      <c r="D137" s="263">
        <v>408.6</v>
      </c>
      <c r="E137" s="242" t="s">
        <v>712</v>
      </c>
      <c r="F137" s="242" t="s">
        <v>713</v>
      </c>
      <c r="G137" s="94" t="str">
        <f>IFERROR(VLOOKUP(F137,[2]Реестр!A:K,2,0),"")</f>
        <v/>
      </c>
      <c r="H137" s="401">
        <v>250</v>
      </c>
      <c r="I137" s="451"/>
      <c r="K137" s="208"/>
    </row>
    <row r="138" spans="1:11" ht="18.75" x14ac:dyDescent="0.25">
      <c r="A138" s="263">
        <v>0.18</v>
      </c>
      <c r="B138" s="263">
        <v>0.05</v>
      </c>
      <c r="C138" s="263">
        <v>9.6300000000000008</v>
      </c>
      <c r="D138" s="263">
        <v>37.582527999999996</v>
      </c>
      <c r="E138" s="242" t="s">
        <v>738</v>
      </c>
      <c r="F138" s="242" t="s">
        <v>739</v>
      </c>
      <c r="G138" s="94" t="str">
        <f>IFERROR(VLOOKUP(F138,[2]Реестр!A:K,2,0),"")</f>
        <v/>
      </c>
      <c r="H138" s="401">
        <v>200</v>
      </c>
      <c r="I138" s="451"/>
      <c r="K138" s="208"/>
    </row>
    <row r="139" spans="1:11" ht="18.75" x14ac:dyDescent="0.25">
      <c r="A139" s="241">
        <v>3.3</v>
      </c>
      <c r="B139" s="241">
        <v>0.6</v>
      </c>
      <c r="C139" s="241">
        <v>20.85</v>
      </c>
      <c r="D139" s="241">
        <v>96.69</v>
      </c>
      <c r="E139" s="242" t="str">
        <f>"-"</f>
        <v>-</v>
      </c>
      <c r="F139" s="242" t="s">
        <v>715</v>
      </c>
      <c r="G139" s="94" t="str">
        <f>IFERROR(VLOOKUP(F139,[2]Реестр!A:K,2,0),"")</f>
        <v/>
      </c>
      <c r="H139" s="232">
        <v>50</v>
      </c>
      <c r="I139" s="451"/>
      <c r="K139" s="208"/>
    </row>
    <row r="140" spans="1:11" ht="18.75" x14ac:dyDescent="0.25">
      <c r="A140" s="264">
        <v>2.64</v>
      </c>
      <c r="B140" s="264">
        <v>0.48</v>
      </c>
      <c r="C140" s="264">
        <v>16.68</v>
      </c>
      <c r="D140" s="264">
        <v>77.352000000000004</v>
      </c>
      <c r="E140" s="381" t="str">
        <f>"-"</f>
        <v>-</v>
      </c>
      <c r="F140" s="381" t="s">
        <v>707</v>
      </c>
      <c r="G140" s="94" t="str">
        <f>IFERROR(VLOOKUP(F140,[2]Реестр!A:K,2,0),"")</f>
        <v/>
      </c>
      <c r="H140" s="232">
        <v>50</v>
      </c>
      <c r="I140" s="451"/>
      <c r="K140" s="208"/>
    </row>
    <row r="141" spans="1:11" ht="18.75" x14ac:dyDescent="0.3">
      <c r="A141" s="104"/>
      <c r="B141" s="104"/>
      <c r="C141" s="104"/>
      <c r="D141" s="104"/>
      <c r="E141" s="218"/>
      <c r="F141" s="122"/>
      <c r="G141" s="94"/>
      <c r="H141" s="97"/>
      <c r="I141" s="452"/>
      <c r="K141" s="208"/>
    </row>
    <row r="142" spans="1:11" ht="18.75" x14ac:dyDescent="0.3">
      <c r="A142" s="464" t="s">
        <v>16</v>
      </c>
      <c r="B142" s="464"/>
      <c r="C142" s="464"/>
      <c r="D142" s="464"/>
      <c r="E142" s="464"/>
      <c r="F142" s="464"/>
      <c r="G142" s="205"/>
      <c r="H142" s="206"/>
      <c r="I142" s="207">
        <f>SUM(I135:I141)</f>
        <v>265.39999999999998</v>
      </c>
      <c r="K142" s="208"/>
    </row>
    <row r="143" spans="1:11" ht="18.75" x14ac:dyDescent="0.3">
      <c r="A143" s="462" t="s">
        <v>601</v>
      </c>
      <c r="B143" s="462"/>
      <c r="C143" s="462"/>
      <c r="D143" s="462"/>
      <c r="E143" s="462"/>
      <c r="F143" s="462"/>
      <c r="G143" s="462"/>
      <c r="H143" s="462"/>
      <c r="I143" s="462"/>
      <c r="K143" s="208"/>
    </row>
    <row r="144" spans="1:11" ht="30" x14ac:dyDescent="0.25">
      <c r="A144" s="243">
        <v>17.96</v>
      </c>
      <c r="B144" s="243">
        <v>19.649999999999999</v>
      </c>
      <c r="C144" s="243">
        <v>1.04</v>
      </c>
      <c r="D144" s="243">
        <v>252.59813800000001</v>
      </c>
      <c r="E144" s="242" t="s">
        <v>740</v>
      </c>
      <c r="F144" s="242" t="s">
        <v>741</v>
      </c>
      <c r="G144" s="211" t="str">
        <f>IFERROR(VLOOKUP(F144,[2]Реестр!A:K,2,0),"")</f>
        <v/>
      </c>
      <c r="H144" s="391">
        <v>200</v>
      </c>
      <c r="I144" s="450">
        <v>176.94</v>
      </c>
      <c r="K144" s="208"/>
    </row>
    <row r="145" spans="1:11" ht="18.75" x14ac:dyDescent="0.25">
      <c r="A145" s="243">
        <v>0.18</v>
      </c>
      <c r="B145" s="243">
        <v>0.04</v>
      </c>
      <c r="C145" s="243">
        <v>13.75</v>
      </c>
      <c r="D145" s="243">
        <v>53.136642799999997</v>
      </c>
      <c r="E145" s="242" t="s">
        <v>742</v>
      </c>
      <c r="F145" s="242" t="s">
        <v>499</v>
      </c>
      <c r="G145" s="211" t="str">
        <f>IFERROR(VLOOKUP(F145,[2]Реестр!A:K,2,0),"")</f>
        <v>200</v>
      </c>
      <c r="H145" s="243" t="s">
        <v>118</v>
      </c>
      <c r="I145" s="451"/>
      <c r="K145" s="208"/>
    </row>
    <row r="146" spans="1:11" ht="18.75" x14ac:dyDescent="0.25">
      <c r="A146" s="241">
        <v>0.52</v>
      </c>
      <c r="B146" s="241">
        <v>0.52</v>
      </c>
      <c r="C146" s="241">
        <v>15.08</v>
      </c>
      <c r="D146" s="241">
        <v>63.283999999999985</v>
      </c>
      <c r="E146" s="242" t="s">
        <v>471</v>
      </c>
      <c r="F146" s="242" t="s">
        <v>708</v>
      </c>
      <c r="G146" s="211" t="str">
        <f>IFERROR(VLOOKUP(F146,[2]Реестр!A:K,2,0),"")</f>
        <v/>
      </c>
      <c r="H146" s="264" t="s">
        <v>735</v>
      </c>
      <c r="I146" s="451"/>
      <c r="K146" s="208"/>
    </row>
    <row r="147" spans="1:11" ht="18.75" x14ac:dyDescent="0.25">
      <c r="A147" s="241">
        <v>2.64</v>
      </c>
      <c r="B147" s="241">
        <v>0.48</v>
      </c>
      <c r="C147" s="241">
        <v>16.68</v>
      </c>
      <c r="D147" s="241">
        <v>77.352000000000004</v>
      </c>
      <c r="E147" s="242" t="s">
        <v>471</v>
      </c>
      <c r="F147" s="242" t="s">
        <v>715</v>
      </c>
      <c r="G147" s="211" t="str">
        <f>IFERROR(VLOOKUP(F147,[2]Реестр!A:K,2,0),"")</f>
        <v/>
      </c>
      <c r="H147" s="392">
        <v>40</v>
      </c>
      <c r="I147" s="451"/>
      <c r="K147" s="208"/>
    </row>
    <row r="148" spans="1:11" ht="18.75" x14ac:dyDescent="0.25">
      <c r="A148" s="241">
        <v>1.32</v>
      </c>
      <c r="B148" s="241">
        <v>0.24</v>
      </c>
      <c r="C148" s="241">
        <v>8.34</v>
      </c>
      <c r="D148" s="241">
        <v>38.676000000000002</v>
      </c>
      <c r="E148" s="381" t="str">
        <f>"-"</f>
        <v>-</v>
      </c>
      <c r="F148" s="381" t="s">
        <v>707</v>
      </c>
      <c r="G148" s="211" t="str">
        <f>IFERROR(VLOOKUP(F148,[2]Реестр!A:K,2,0),"")</f>
        <v/>
      </c>
      <c r="H148" s="264" t="str">
        <f>"20"</f>
        <v>20</v>
      </c>
      <c r="I148" s="451"/>
      <c r="K148" s="208"/>
    </row>
    <row r="149" spans="1:11" ht="18.75" x14ac:dyDescent="0.3">
      <c r="A149" s="209"/>
      <c r="B149" s="209"/>
      <c r="C149" s="209"/>
      <c r="D149" s="209"/>
      <c r="E149" s="210"/>
      <c r="F149" s="217"/>
      <c r="G149" s="211"/>
      <c r="H149" s="206"/>
      <c r="I149" s="452"/>
      <c r="K149" s="208"/>
    </row>
    <row r="150" spans="1:11" ht="18.75" x14ac:dyDescent="0.3">
      <c r="A150" s="464" t="s">
        <v>16</v>
      </c>
      <c r="B150" s="464"/>
      <c r="C150" s="464"/>
      <c r="D150" s="464"/>
      <c r="E150" s="464"/>
      <c r="F150" s="464"/>
      <c r="G150" s="205"/>
      <c r="H150" s="206"/>
      <c r="I150" s="207">
        <f>SUM(I144:I149)</f>
        <v>176.94</v>
      </c>
      <c r="K150" s="208"/>
    </row>
    <row r="151" spans="1:11" ht="18.75" x14ac:dyDescent="0.3">
      <c r="A151" s="462" t="s">
        <v>684</v>
      </c>
      <c r="B151" s="462"/>
      <c r="C151" s="462"/>
      <c r="D151" s="462"/>
      <c r="E151" s="462"/>
      <c r="F151" s="462"/>
      <c r="G151" s="462"/>
      <c r="H151" s="462"/>
      <c r="I151" s="462"/>
      <c r="K151" s="208"/>
    </row>
    <row r="152" spans="1:11" ht="30" x14ac:dyDescent="0.25">
      <c r="A152" s="417">
        <v>1.33</v>
      </c>
      <c r="B152" s="243">
        <v>5.12</v>
      </c>
      <c r="C152" s="243">
        <v>7.75</v>
      </c>
      <c r="D152" s="243">
        <v>73.52</v>
      </c>
      <c r="E152" s="242" t="s">
        <v>709</v>
      </c>
      <c r="F152" s="242" t="s">
        <v>710</v>
      </c>
      <c r="G152" s="211" t="str">
        <f>IFERROR(VLOOKUP(F152,[2]Реестр!A:K,2,0),"")</f>
        <v/>
      </c>
      <c r="H152" s="210">
        <v>100</v>
      </c>
      <c r="I152" s="450">
        <v>265.39999999999998</v>
      </c>
      <c r="K152" s="208"/>
    </row>
    <row r="153" spans="1:11" ht="18.75" x14ac:dyDescent="0.3">
      <c r="A153" s="263">
        <v>4.1100000000000003</v>
      </c>
      <c r="B153" s="263">
        <v>4.7699999999999996</v>
      </c>
      <c r="C153" s="263">
        <v>59.23</v>
      </c>
      <c r="D153" s="263">
        <v>143.13</v>
      </c>
      <c r="E153" s="242" t="str">
        <f>"6/65-1"</f>
        <v>6/65-1</v>
      </c>
      <c r="F153" s="242" t="s">
        <v>731</v>
      </c>
      <c r="G153" s="94" t="str">
        <f>IFERROR(VLOOKUP(F153,[2]Реестр!A:K,2,0),"")</f>
        <v/>
      </c>
      <c r="H153" s="97">
        <v>250</v>
      </c>
      <c r="I153" s="451"/>
      <c r="K153" s="208"/>
    </row>
    <row r="154" spans="1:11" ht="18.75" x14ac:dyDescent="0.3">
      <c r="A154" s="263">
        <v>15.55</v>
      </c>
      <c r="B154" s="263">
        <v>15.9</v>
      </c>
      <c r="C154" s="263">
        <v>90.5</v>
      </c>
      <c r="D154" s="263">
        <v>408.6</v>
      </c>
      <c r="E154" s="242" t="s">
        <v>712</v>
      </c>
      <c r="F154" s="242" t="s">
        <v>713</v>
      </c>
      <c r="G154" s="94" t="str">
        <f>IFERROR(VLOOKUP(F154,[2]Реестр!A:K,2,0),"")</f>
        <v/>
      </c>
      <c r="H154" s="97">
        <v>250</v>
      </c>
      <c r="I154" s="451"/>
      <c r="K154" s="208"/>
    </row>
    <row r="155" spans="1:11" ht="18.75" x14ac:dyDescent="0.3">
      <c r="A155" s="263">
        <v>0.18</v>
      </c>
      <c r="B155" s="263">
        <v>0.05</v>
      </c>
      <c r="C155" s="263">
        <v>0.32</v>
      </c>
      <c r="D155" s="263">
        <v>37.582527999999996</v>
      </c>
      <c r="E155" s="242" t="s">
        <v>714</v>
      </c>
      <c r="F155" s="242" t="s">
        <v>328</v>
      </c>
      <c r="G155" s="94">
        <f>IFERROR(VLOOKUP(F155,[2]Реестр!A:K,2,0),"")</f>
        <v>200</v>
      </c>
      <c r="H155" s="97">
        <v>200</v>
      </c>
      <c r="I155" s="451"/>
      <c r="K155" s="208"/>
    </row>
    <row r="156" spans="1:11" ht="18.75" x14ac:dyDescent="0.3">
      <c r="A156" s="264">
        <v>2.64</v>
      </c>
      <c r="B156" s="264">
        <v>0.48</v>
      </c>
      <c r="C156" s="264">
        <v>16.68</v>
      </c>
      <c r="D156" s="264">
        <v>77.352000000000004</v>
      </c>
      <c r="E156" s="242" t="str">
        <f>"-"</f>
        <v>-</v>
      </c>
      <c r="F156" s="242" t="s">
        <v>715</v>
      </c>
      <c r="G156" s="94" t="str">
        <f>IFERROR(VLOOKUP(F156,[2]Реестр!A:K,2,0),"")</f>
        <v/>
      </c>
      <c r="H156" s="206">
        <v>50</v>
      </c>
      <c r="I156" s="451"/>
      <c r="K156" s="208"/>
    </row>
    <row r="157" spans="1:11" ht="18.75" x14ac:dyDescent="0.3">
      <c r="A157" s="264">
        <v>2.64</v>
      </c>
      <c r="B157" s="264">
        <v>0.48</v>
      </c>
      <c r="C157" s="264">
        <v>16.68</v>
      </c>
      <c r="D157" s="264">
        <v>77.352000000000004</v>
      </c>
      <c r="E157" s="381" t="str">
        <f>"-"</f>
        <v>-</v>
      </c>
      <c r="F157" s="381" t="s">
        <v>707</v>
      </c>
      <c r="G157" s="94" t="str">
        <f>IFERROR(VLOOKUP(F157,[2]Реестр!A:K,2,0),"")</f>
        <v/>
      </c>
      <c r="H157" s="206">
        <v>50</v>
      </c>
      <c r="I157" s="451"/>
      <c r="K157" s="208"/>
    </row>
    <row r="158" spans="1:11" ht="18.75" x14ac:dyDescent="0.3">
      <c r="A158" s="464" t="s">
        <v>16</v>
      </c>
      <c r="B158" s="464"/>
      <c r="C158" s="464"/>
      <c r="D158" s="464"/>
      <c r="E158" s="464"/>
      <c r="F158" s="464"/>
      <c r="G158" s="94"/>
      <c r="H158" s="97"/>
      <c r="I158" s="452"/>
      <c r="K158" s="208"/>
    </row>
    <row r="159" spans="1:11" ht="18.75" x14ac:dyDescent="0.3">
      <c r="A159" s="465" t="s">
        <v>602</v>
      </c>
      <c r="B159" s="466"/>
      <c r="C159" s="466"/>
      <c r="D159" s="466"/>
      <c r="E159" s="466"/>
      <c r="F159" s="466"/>
      <c r="G159" s="466"/>
      <c r="H159" s="466"/>
      <c r="I159" s="467"/>
      <c r="K159" s="208"/>
    </row>
    <row r="160" spans="1:11" ht="18.75" x14ac:dyDescent="0.3">
      <c r="A160" s="219">
        <v>7.7</v>
      </c>
      <c r="B160" s="219">
        <v>7.42</v>
      </c>
      <c r="C160" s="219">
        <v>32.090000000000003</v>
      </c>
      <c r="D160" s="219">
        <v>225.88</v>
      </c>
      <c r="E160" s="416" t="s">
        <v>408</v>
      </c>
      <c r="F160" s="406" t="s">
        <v>529</v>
      </c>
      <c r="G160" s="94">
        <f>IFERROR(VLOOKUP(F160,[2]Реестр!A:K,2,0),"")</f>
        <v>100</v>
      </c>
      <c r="H160" s="97">
        <v>80</v>
      </c>
      <c r="I160" s="447">
        <v>125</v>
      </c>
      <c r="K160" s="208"/>
    </row>
    <row r="161" spans="1:11" ht="18.75" x14ac:dyDescent="0.3">
      <c r="A161" s="263">
        <v>4.1100000000000003</v>
      </c>
      <c r="B161" s="263">
        <v>4.7699999999999996</v>
      </c>
      <c r="C161" s="263">
        <v>26.5</v>
      </c>
      <c r="D161" s="263">
        <v>213.5</v>
      </c>
      <c r="E161" s="242" t="s">
        <v>711</v>
      </c>
      <c r="F161" s="242" t="s">
        <v>716</v>
      </c>
      <c r="G161" s="94" t="str">
        <f>IFERROR(VLOOKUP(F161,[2]Реестр!A:K,2,0),"")</f>
        <v/>
      </c>
      <c r="H161" s="97">
        <v>250</v>
      </c>
      <c r="I161" s="448"/>
      <c r="K161" s="208"/>
    </row>
    <row r="162" spans="1:11" ht="18.75" x14ac:dyDescent="0.3">
      <c r="A162" s="263">
        <v>3.94</v>
      </c>
      <c r="B162" s="263">
        <v>5.1100000000000003</v>
      </c>
      <c r="C162" s="263">
        <v>27.5</v>
      </c>
      <c r="D162" s="263">
        <v>170.19544859999999</v>
      </c>
      <c r="E162" s="242" t="s">
        <v>714</v>
      </c>
      <c r="F162" s="386" t="s">
        <v>328</v>
      </c>
      <c r="G162" s="211">
        <f>IFERROR(VLOOKUP(F162,[2]Реестр!A:K,2,0),"")</f>
        <v>200</v>
      </c>
      <c r="H162" s="206">
        <v>200</v>
      </c>
      <c r="I162" s="448"/>
      <c r="K162" s="208"/>
    </row>
    <row r="163" spans="1:11" ht="18.75" x14ac:dyDescent="0.3">
      <c r="A163" s="104">
        <f>IFERROR(VLOOKUP(F163,[13]Реестр!A:K,3,0)*H163/G163,"")</f>
        <v>2.64</v>
      </c>
      <c r="B163" s="104">
        <f>IFERROR(VLOOKUP(F163,[13]Реестр!A:K,4,0)*H163/G163,"")</f>
        <v>0.24</v>
      </c>
      <c r="C163" s="104">
        <f>IFERROR(VLOOKUP(F163,[13]Реестр!A:K,5,0)*H163/G163,"")</f>
        <v>18.72</v>
      </c>
      <c r="D163" s="104">
        <f>IFERROR(VLOOKUP(F163,[13]Реестр!A:K,6,0)*H163/G163,"")</f>
        <v>89.6</v>
      </c>
      <c r="E163" s="422" t="str">
        <f>IFERROR(VLOOKUP(F163,[13]Реестр!A:K,11,0),"")</f>
        <v>-</v>
      </c>
      <c r="F163" s="423" t="s">
        <v>66</v>
      </c>
      <c r="G163" s="94" t="str">
        <f>IFERROR(VLOOKUP(F163,[2]Реестр!A:K,2,0),"")</f>
        <v>100</v>
      </c>
      <c r="H163" s="97">
        <v>40</v>
      </c>
      <c r="I163" s="448"/>
      <c r="J163" s="215" t="s">
        <v>633</v>
      </c>
      <c r="K163" s="208"/>
    </row>
    <row r="164" spans="1:11" ht="18.75" x14ac:dyDescent="0.3">
      <c r="A164" s="104">
        <f>IFERROR(VLOOKUP(F164,[13]Реестр!A:K,3,0)*H164/G164,"")</f>
        <v>2.64</v>
      </c>
      <c r="B164" s="104">
        <f>IFERROR(VLOOKUP(F164,[13]Реестр!A:K,4,0)*H164/G164,"")</f>
        <v>0.48</v>
      </c>
      <c r="C164" s="104">
        <f>IFERROR(VLOOKUP(F164,[13]Реестр!A:K,5,0)*H164/G164,"")</f>
        <v>13.36</v>
      </c>
      <c r="D164" s="104">
        <f>IFERROR(VLOOKUP(F164,[13]Реестр!A:K,6,0)*H164/G164,"")</f>
        <v>77.2</v>
      </c>
      <c r="E164" s="422" t="str">
        <f>IFERROR(VLOOKUP(F164,[13]Реестр!A:K,11,0),"")</f>
        <v>-</v>
      </c>
      <c r="F164" s="423" t="s">
        <v>65</v>
      </c>
      <c r="G164" s="94" t="str">
        <f>IFERROR(VLOOKUP(F164,[2]Реестр!A:K,2,0),"")</f>
        <v>100</v>
      </c>
      <c r="H164" s="97">
        <v>40</v>
      </c>
      <c r="I164" s="449"/>
      <c r="K164" s="208"/>
    </row>
    <row r="165" spans="1:11" ht="18.75" x14ac:dyDescent="0.3">
      <c r="A165" s="453" t="s">
        <v>16</v>
      </c>
      <c r="B165" s="454"/>
      <c r="C165" s="454"/>
      <c r="D165" s="454"/>
      <c r="E165" s="454"/>
      <c r="F165" s="454"/>
      <c r="G165" s="454"/>
      <c r="H165" s="455"/>
      <c r="I165" s="207">
        <f>SUM(I160:I164)</f>
        <v>125</v>
      </c>
      <c r="K165" s="208"/>
    </row>
    <row r="167" spans="1:11" s="215" customFormat="1" ht="18.75" x14ac:dyDescent="0.3">
      <c r="B167" s="252"/>
      <c r="C167" s="253"/>
      <c r="D167" s="253"/>
      <c r="E167" s="253"/>
      <c r="F167" s="254" t="s">
        <v>37</v>
      </c>
      <c r="G167" s="270"/>
      <c r="H167" s="257"/>
      <c r="I167" s="260" t="s">
        <v>584</v>
      </c>
      <c r="K167" s="202"/>
    </row>
    <row r="168" spans="1:11" s="215" customFormat="1" ht="18.75" x14ac:dyDescent="0.3">
      <c r="B168" s="252"/>
      <c r="C168" s="253"/>
      <c r="D168" s="253"/>
      <c r="E168" s="253"/>
      <c r="F168" s="254"/>
      <c r="G168" s="270"/>
      <c r="H168" s="418"/>
      <c r="I168" s="260"/>
      <c r="K168" s="202"/>
    </row>
    <row r="169" spans="1:11" x14ac:dyDescent="0.25">
      <c r="H169" s="414" t="s">
        <v>699</v>
      </c>
    </row>
  </sheetData>
  <autoFilter ref="A4:I93" xr:uid="{00000000-0009-0000-0000-00000A000000}"/>
  <mergeCells count="65">
    <mergeCell ref="A134:I134"/>
    <mergeCell ref="I135:I141"/>
    <mergeCell ref="A142:F142"/>
    <mergeCell ref="A151:I151"/>
    <mergeCell ref="I152:I158"/>
    <mergeCell ref="A158:F158"/>
    <mergeCell ref="A159:I159"/>
    <mergeCell ref="A165:H165"/>
    <mergeCell ref="A143:I143"/>
    <mergeCell ref="I144:I149"/>
    <mergeCell ref="A150:F150"/>
    <mergeCell ref="I160:I164"/>
    <mergeCell ref="A126:F126"/>
    <mergeCell ref="A127:I127"/>
    <mergeCell ref="I128:I132"/>
    <mergeCell ref="A133:F133"/>
    <mergeCell ref="A1:B1"/>
    <mergeCell ref="H1:I1"/>
    <mergeCell ref="H2:I2"/>
    <mergeCell ref="A3:C3"/>
    <mergeCell ref="D3:E3"/>
    <mergeCell ref="H3:I3"/>
    <mergeCell ref="A40:I40"/>
    <mergeCell ref="I4:I5"/>
    <mergeCell ref="A22:I22"/>
    <mergeCell ref="A29:F29"/>
    <mergeCell ref="A30:I30"/>
    <mergeCell ref="A38:F38"/>
    <mergeCell ref="J4:J5"/>
    <mergeCell ref="A6:I6"/>
    <mergeCell ref="A12:F12"/>
    <mergeCell ref="A13:I13"/>
    <mergeCell ref="A21:F21"/>
    <mergeCell ref="A4:C4"/>
    <mergeCell ref="D4:D5"/>
    <mergeCell ref="E4:E5"/>
    <mergeCell ref="F4:F5"/>
    <mergeCell ref="G4:G5"/>
    <mergeCell ref="H4:H5"/>
    <mergeCell ref="A39:I3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A85:I85"/>
    <mergeCell ref="A93:F93"/>
    <mergeCell ref="A94:I94"/>
    <mergeCell ref="I95:I99"/>
    <mergeCell ref="A109:I109"/>
    <mergeCell ref="A117:F117"/>
    <mergeCell ref="A118:I118"/>
    <mergeCell ref="I119:I125"/>
    <mergeCell ref="I110:I116"/>
    <mergeCell ref="A100:F100"/>
    <mergeCell ref="A101:I101"/>
    <mergeCell ref="I102:I107"/>
    <mergeCell ref="A108:F108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2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A00-000000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F116</xm:sqref>
        </x14:dataValidation>
        <x14:dataValidation type="list" allowBlank="1" showInputMessage="1" showErrorMessage="1" xr:uid="{00000000-0002-0000-0A00-000001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F68 F164 F76:F77 F124 F19 F147:F148 F27:F28 F52 F60 F10:F11 F44:F45 F36 F98:F99 F105:F106 F91 F131:F132 F157</xm:sqref>
        </x14:dataValidation>
        <x14:dataValidation type="list" allowBlank="1" showInputMessage="1" showErrorMessage="1" xr:uid="{00000000-0002-0000-0A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F122:F123 F113 F90 F7:F9 F17:F18 F155:F156 F57 F41:F43 F128:F130 F67 F102:F104 F111 F136 F50:F51 F35 F75 F95:F97 F107 F149 F144:F146 F26 F138 F163</xm:sqref>
        </x14:dataValidation>
        <x14:dataValidation type="list" allowBlank="1" showInputMessage="1" showErrorMessage="1" xr:uid="{00000000-0002-0000-0A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F52 F164 F91 F124 F98:F99 F68 F76:F77 F10:F11 F19 F147:F148 F27:F28 F44:F45 F60 F36 F105:F106 F131:F132 F157</xm:sqref>
        </x14:dataValidation>
        <x14:dataValidation type="list" allowBlank="1" showInputMessage="1" showErrorMessage="1" xr:uid="{00000000-0002-0000-0A00-000004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F80 F160</xm:sqref>
        </x14:dataValidation>
        <x14:dataValidation type="list" allowBlank="1" showInputMessage="1" showErrorMessage="1" xr:uid="{00000000-0002-0000-0A00-000008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F20 F115 F53 F37 F92 F69 F125 F140:F141</xm:sqref>
        </x14:dataValidation>
        <x14:dataValidation type="list" allowBlank="1" showInputMessage="1" showErrorMessage="1" xr:uid="{00000000-0002-0000-0A00-000009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F110 F47:F49 F137 F152:F154 F14:F16 F87 F32 F64 F119:F121 F83 F112 F135 F161</xm:sqref>
        </x14:dataValidation>
        <x14:dataValidation type="list" allowBlank="1" showInputMessage="1" showErrorMessage="1" xr:uid="{00000000-0002-0000-0A00-00000B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F114 F139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9">
    <pageSetUpPr fitToPage="1"/>
  </sheetPr>
  <dimension ref="A1:L146"/>
  <sheetViews>
    <sheetView view="pageBreakPreview" zoomScaleNormal="100" zoomScaleSheetLayoutView="100" workbookViewId="0">
      <selection activeCell="F7" sqref="F7"/>
    </sheetView>
  </sheetViews>
  <sheetFormatPr defaultRowHeight="15.75" x14ac:dyDescent="0.25"/>
  <cols>
    <col min="1" max="1" width="11.28515625" style="215" customWidth="1"/>
    <col min="2" max="2" width="11.28515625" style="252" customWidth="1"/>
    <col min="3" max="3" width="10.5703125" style="253" customWidth="1"/>
    <col min="4" max="4" width="10.28515625" style="253" customWidth="1"/>
    <col min="5" max="5" width="14" style="253" customWidth="1"/>
    <col min="6" max="6" width="57.85546875" style="253" customWidth="1"/>
    <col min="7" max="7" width="17.85546875" style="253" hidden="1" customWidth="1"/>
    <col min="8" max="9" width="15.5703125" style="253" customWidth="1"/>
    <col min="10" max="10" width="25.5703125" style="215" customWidth="1"/>
    <col min="11" max="1025" width="8.7109375" style="202" customWidth="1"/>
    <col min="1026" max="16384" width="9.140625" style="202"/>
  </cols>
  <sheetData>
    <row r="1" spans="1:12" s="234" customFormat="1" ht="29.25" customHeight="1" x14ac:dyDescent="0.25">
      <c r="A1" s="468" t="s">
        <v>0</v>
      </c>
      <c r="B1" s="468"/>
      <c r="C1" s="235"/>
      <c r="D1" s="235"/>
      <c r="E1" s="235"/>
      <c r="F1" s="231" t="s">
        <v>1</v>
      </c>
      <c r="G1" s="231"/>
      <c r="H1" s="439" t="s">
        <v>0</v>
      </c>
      <c r="I1" s="439"/>
    </row>
    <row r="2" spans="1:12" s="234" customFormat="1" ht="29.25" customHeight="1" x14ac:dyDescent="0.25">
      <c r="A2" s="235" t="s">
        <v>2</v>
      </c>
      <c r="B2" s="235"/>
      <c r="C2" s="259"/>
      <c r="D2" s="259"/>
      <c r="E2" s="259"/>
      <c r="F2" s="231" t="s">
        <v>585</v>
      </c>
      <c r="G2" s="231"/>
      <c r="H2" s="487" t="s">
        <v>704</v>
      </c>
      <c r="I2" s="487"/>
      <c r="J2" s="235"/>
    </row>
    <row r="3" spans="1:12" s="234" customFormat="1" ht="29.25" customHeight="1" x14ac:dyDescent="0.25">
      <c r="A3" s="437" t="s">
        <v>522</v>
      </c>
      <c r="B3" s="437"/>
      <c r="C3" s="437"/>
      <c r="D3" s="438"/>
      <c r="E3" s="438"/>
      <c r="F3" s="231" t="s">
        <v>748</v>
      </c>
      <c r="G3" s="231"/>
      <c r="H3" s="470" t="s">
        <v>747</v>
      </c>
      <c r="I3" s="470"/>
    </row>
    <row r="4" spans="1:12" ht="15" customHeight="1" x14ac:dyDescent="0.25">
      <c r="A4" s="472" t="s">
        <v>4</v>
      </c>
      <c r="B4" s="472"/>
      <c r="C4" s="472"/>
      <c r="D4" s="471" t="s">
        <v>5</v>
      </c>
      <c r="E4" s="471" t="s">
        <v>6</v>
      </c>
      <c r="F4" s="471" t="s">
        <v>7</v>
      </c>
      <c r="G4" s="473" t="s">
        <v>8</v>
      </c>
      <c r="H4" s="471" t="s">
        <v>9</v>
      </c>
      <c r="I4" s="471" t="s">
        <v>10</v>
      </c>
      <c r="J4" s="471" t="s">
        <v>11</v>
      </c>
    </row>
    <row r="5" spans="1:12" x14ac:dyDescent="0.25">
      <c r="A5" s="232" t="s">
        <v>12</v>
      </c>
      <c r="B5" s="232" t="s">
        <v>13</v>
      </c>
      <c r="C5" s="232" t="s">
        <v>14</v>
      </c>
      <c r="D5" s="471"/>
      <c r="E5" s="471"/>
      <c r="F5" s="471"/>
      <c r="G5" s="473"/>
      <c r="H5" s="471"/>
      <c r="I5" s="471"/>
      <c r="J5" s="471"/>
    </row>
    <row r="6" spans="1:12" ht="18" customHeight="1" x14ac:dyDescent="0.3">
      <c r="A6" s="462" t="s">
        <v>15</v>
      </c>
      <c r="B6" s="462"/>
      <c r="C6" s="462"/>
      <c r="D6" s="462"/>
      <c r="E6" s="462"/>
      <c r="F6" s="462"/>
      <c r="G6" s="462"/>
      <c r="H6" s="462"/>
      <c r="I6" s="462"/>
      <c r="J6" s="212"/>
    </row>
    <row r="7" spans="1:12" ht="18" customHeight="1" x14ac:dyDescent="0.3">
      <c r="A7" s="243">
        <v>4.2300000000000004</v>
      </c>
      <c r="B7" s="243">
        <v>4.96</v>
      </c>
      <c r="C7" s="243">
        <v>38.700000000000003</v>
      </c>
      <c r="D7" s="243">
        <v>228.9</v>
      </c>
      <c r="E7" s="242" t="str">
        <f>"1/50"</f>
        <v>1/50</v>
      </c>
      <c r="F7" s="242" t="s">
        <v>706</v>
      </c>
      <c r="G7" s="211" t="str">
        <f>IFERROR(VLOOKUP(F7,[1]Реестр!A:K,2,0),"")</f>
        <v/>
      </c>
      <c r="H7" s="210">
        <v>30</v>
      </c>
      <c r="I7" s="207">
        <v>38.369999999999997</v>
      </c>
      <c r="J7" s="201" t="str">
        <f>IFERROR(VLOOKUP(O7,Реестр!#REF!,3,0)*Q7/P7,"")</f>
        <v/>
      </c>
    </row>
    <row r="8" spans="1:12" ht="18" customHeight="1" x14ac:dyDescent="0.3">
      <c r="A8" s="243">
        <v>13.79</v>
      </c>
      <c r="B8" s="243">
        <v>14.6</v>
      </c>
      <c r="C8" s="243">
        <v>23.4</v>
      </c>
      <c r="D8" s="243">
        <v>266.7</v>
      </c>
      <c r="E8" s="242" t="str">
        <f>"4/56"</f>
        <v>4/56</v>
      </c>
      <c r="F8" s="242" t="s">
        <v>705</v>
      </c>
      <c r="G8" s="211"/>
      <c r="H8" s="210">
        <v>150</v>
      </c>
      <c r="I8" s="207">
        <v>75.42</v>
      </c>
      <c r="J8" s="201" t="str">
        <f>IFERROR(VLOOKUP(O8,Реестр!#REF!,3,0)*Q8/P8,"")</f>
        <v/>
      </c>
    </row>
    <row r="9" spans="1:12" ht="18" customHeight="1" x14ac:dyDescent="0.3">
      <c r="A9" s="243">
        <v>0.18</v>
      </c>
      <c r="B9" s="243">
        <v>0.04</v>
      </c>
      <c r="C9" s="243">
        <v>13.75</v>
      </c>
      <c r="D9" s="243">
        <v>53.136642799999997</v>
      </c>
      <c r="E9" s="242" t="str">
        <f>"11/56"</f>
        <v>11/56</v>
      </c>
      <c r="F9" s="242" t="s">
        <v>499</v>
      </c>
      <c r="G9" s="211"/>
      <c r="H9" s="210">
        <v>200</v>
      </c>
      <c r="I9" s="207">
        <v>8.15</v>
      </c>
      <c r="J9" s="201" t="str">
        <f>IFERROR(VLOOKUP(O9,Реестр!#REF!,3,0)*Q9/P9,"")</f>
        <v/>
      </c>
    </row>
    <row r="10" spans="1:12" ht="18" customHeight="1" x14ac:dyDescent="0.3">
      <c r="A10" s="264">
        <v>1.3</v>
      </c>
      <c r="B10" s="264">
        <v>0.2</v>
      </c>
      <c r="C10" s="264">
        <v>6.7</v>
      </c>
      <c r="D10" s="264">
        <v>39</v>
      </c>
      <c r="E10" s="381" t="str">
        <f>"-"</f>
        <v>-</v>
      </c>
      <c r="F10" s="381" t="s">
        <v>707</v>
      </c>
      <c r="G10" s="211"/>
      <c r="H10" s="206">
        <v>20</v>
      </c>
      <c r="I10" s="207">
        <v>1.8</v>
      </c>
      <c r="J10" s="201" t="str">
        <f>IFERROR(VLOOKUP(O10,Реестр!#REF!,3,0)*Q10/P10,"")</f>
        <v/>
      </c>
    </row>
    <row r="11" spans="1:12" ht="18.75" x14ac:dyDescent="0.3">
      <c r="A11" s="264">
        <v>0.52</v>
      </c>
      <c r="B11" s="264">
        <v>0.52</v>
      </c>
      <c r="C11" s="264">
        <v>15.08</v>
      </c>
      <c r="D11" s="264">
        <v>63.283999999999985</v>
      </c>
      <c r="E11" s="381" t="str">
        <f>"-"</f>
        <v>-</v>
      </c>
      <c r="F11" s="381" t="s">
        <v>708</v>
      </c>
      <c r="G11" s="211"/>
      <c r="H11" s="206">
        <v>130</v>
      </c>
      <c r="I11" s="207">
        <v>25.78</v>
      </c>
      <c r="J11" s="206"/>
      <c r="K11" s="208"/>
    </row>
    <row r="12" spans="1:12" ht="18" customHeight="1" x14ac:dyDescent="0.3">
      <c r="A12" s="464" t="s">
        <v>16</v>
      </c>
      <c r="B12" s="464"/>
      <c r="C12" s="464"/>
      <c r="D12" s="464"/>
      <c r="E12" s="464"/>
      <c r="F12" s="464"/>
      <c r="G12" s="205"/>
      <c r="H12" s="206"/>
      <c r="I12" s="207">
        <f>SUM(I7:I11)</f>
        <v>149.51999999999998</v>
      </c>
      <c r="J12" s="206">
        <v>85.2</v>
      </c>
      <c r="K12" s="208">
        <f>I12-J12</f>
        <v>64.319999999999979</v>
      </c>
      <c r="L12" s="208"/>
    </row>
    <row r="13" spans="1:12" ht="18" customHeight="1" x14ac:dyDescent="0.3">
      <c r="A13" s="462" t="s">
        <v>17</v>
      </c>
      <c r="B13" s="462"/>
      <c r="C13" s="462"/>
      <c r="D13" s="462"/>
      <c r="E13" s="462"/>
      <c r="F13" s="462"/>
      <c r="G13" s="462"/>
      <c r="H13" s="462"/>
      <c r="I13" s="462"/>
      <c r="J13" s="212"/>
    </row>
    <row r="14" spans="1:12" ht="30" x14ac:dyDescent="0.3">
      <c r="A14" s="383">
        <v>1.33</v>
      </c>
      <c r="B14" s="383">
        <v>5.12</v>
      </c>
      <c r="C14" s="383">
        <v>4.0999999999999996</v>
      </c>
      <c r="D14" s="383">
        <v>73.52</v>
      </c>
      <c r="E14" s="382" t="s">
        <v>709</v>
      </c>
      <c r="F14" s="242" t="s">
        <v>710</v>
      </c>
      <c r="G14" s="211" t="str">
        <f>IFERROR(VLOOKUP(F14,[2]Реестр!A:K,2,0),"")</f>
        <v/>
      </c>
      <c r="H14" s="210">
        <v>80</v>
      </c>
      <c r="I14" s="230">
        <v>44.94</v>
      </c>
      <c r="J14" s="201" t="str">
        <f>IFERROR(VLOOKUP(O14,Реестр!#REF!,3,0)*Q14/P14,"")</f>
        <v/>
      </c>
    </row>
    <row r="15" spans="1:12" ht="18" customHeight="1" x14ac:dyDescent="0.3">
      <c r="A15" s="263">
        <v>4.1100000000000003</v>
      </c>
      <c r="B15" s="263">
        <v>4.7699999999999996</v>
      </c>
      <c r="C15" s="263">
        <v>19.5</v>
      </c>
      <c r="D15" s="263">
        <v>143.13</v>
      </c>
      <c r="E15" s="242" t="s">
        <v>711</v>
      </c>
      <c r="F15" s="242" t="s">
        <v>716</v>
      </c>
      <c r="G15" s="211" t="str">
        <f>IFERROR(VLOOKUP(F15,[2]Реестр!A:K,2,0),"")</f>
        <v/>
      </c>
      <c r="H15" s="206">
        <v>250</v>
      </c>
      <c r="I15" s="207">
        <v>50</v>
      </c>
      <c r="J15" s="201" t="str">
        <f>IFERROR(VLOOKUP(O15,Реестр!#REF!,3,0)*Q15/P15,"")</f>
        <v/>
      </c>
    </row>
    <row r="16" spans="1:12" ht="18" customHeight="1" x14ac:dyDescent="0.3">
      <c r="A16" s="263">
        <v>15.55</v>
      </c>
      <c r="B16" s="263">
        <v>15.4</v>
      </c>
      <c r="C16" s="263">
        <v>57.1</v>
      </c>
      <c r="D16" s="263">
        <v>364.2</v>
      </c>
      <c r="E16" s="242" t="s">
        <v>712</v>
      </c>
      <c r="F16" s="242" t="s">
        <v>713</v>
      </c>
      <c r="G16" s="211" t="str">
        <f>IFERROR(VLOOKUP(F16,[2]Реестр!A:K,2,0),"")</f>
        <v/>
      </c>
      <c r="H16" s="206">
        <v>200</v>
      </c>
      <c r="I16" s="206">
        <v>102.59</v>
      </c>
      <c r="J16" s="201" t="str">
        <f>IFERROR(VLOOKUP(O16,Реестр!#REF!,3,0)*Q16/P16,"")</f>
        <v/>
      </c>
    </row>
    <row r="17" spans="1:12" ht="18" customHeight="1" x14ac:dyDescent="0.3">
      <c r="A17" s="263">
        <v>0.18</v>
      </c>
      <c r="B17" s="263">
        <v>0.05</v>
      </c>
      <c r="C17" s="263">
        <v>0.32</v>
      </c>
      <c r="D17" s="263">
        <v>37.582527999999996</v>
      </c>
      <c r="E17" s="242" t="s">
        <v>714</v>
      </c>
      <c r="F17" s="242" t="s">
        <v>328</v>
      </c>
      <c r="G17" s="211">
        <f>IFERROR(VLOOKUP(F17,[2]Реестр!A:K,2,0),"")</f>
        <v>200</v>
      </c>
      <c r="H17" s="206">
        <v>200</v>
      </c>
      <c r="I17" s="207">
        <v>19.54</v>
      </c>
      <c r="J17" s="201"/>
    </row>
    <row r="18" spans="1:12" ht="18" customHeight="1" x14ac:dyDescent="0.3">
      <c r="A18" s="264">
        <v>3.3</v>
      </c>
      <c r="B18" s="264">
        <v>0.3</v>
      </c>
      <c r="C18" s="264">
        <v>23.4</v>
      </c>
      <c r="D18" s="264">
        <v>112</v>
      </c>
      <c r="E18" s="242" t="s">
        <v>471</v>
      </c>
      <c r="F18" s="242" t="s">
        <v>715</v>
      </c>
      <c r="G18" s="211" t="str">
        <f>IFERROR(VLOOKUP(F18,[2]Реестр!A:K,2,0),"")</f>
        <v/>
      </c>
      <c r="H18" s="206">
        <v>50</v>
      </c>
      <c r="I18" s="207">
        <v>4.5</v>
      </c>
      <c r="J18" s="201" t="str">
        <f>IFERROR(VLOOKUP(O18,Реестр!#REF!,3,0)*Q18/P18,"")</f>
        <v/>
      </c>
    </row>
    <row r="19" spans="1:12" ht="18" customHeight="1" x14ac:dyDescent="0.3">
      <c r="A19" s="241">
        <v>2</v>
      </c>
      <c r="B19" s="241">
        <v>0.4</v>
      </c>
      <c r="C19" s="241">
        <v>10</v>
      </c>
      <c r="D19" s="241">
        <v>58</v>
      </c>
      <c r="E19" s="381" t="s">
        <v>471</v>
      </c>
      <c r="F19" s="381" t="s">
        <v>707</v>
      </c>
      <c r="G19" s="211" t="str">
        <f>IFERROR(VLOOKUP(F19,[2]Реестр!A:K,2,0),"")</f>
        <v/>
      </c>
      <c r="H19" s="206">
        <v>30</v>
      </c>
      <c r="I19" s="203">
        <v>2.7</v>
      </c>
      <c r="J19" s="201" t="str">
        <f>IFERROR(VLOOKUP(O19,Реестр!#REF!,3,0)*Q19/P19,"")</f>
        <v/>
      </c>
    </row>
    <row r="20" spans="1:12" ht="18" customHeight="1" x14ac:dyDescent="0.3">
      <c r="A20" s="196"/>
      <c r="B20" s="196"/>
      <c r="C20" s="196"/>
      <c r="D20" s="196"/>
      <c r="E20" s="214"/>
      <c r="F20" s="204"/>
      <c r="G20" s="199"/>
      <c r="H20" s="200"/>
      <c r="I20" s="203"/>
      <c r="J20" s="201"/>
    </row>
    <row r="21" spans="1:12" ht="18.75" x14ac:dyDescent="0.3">
      <c r="A21" s="464" t="s">
        <v>16</v>
      </c>
      <c r="B21" s="464"/>
      <c r="C21" s="464"/>
      <c r="D21" s="464"/>
      <c r="E21" s="464"/>
      <c r="F21" s="464"/>
      <c r="G21" s="205"/>
      <c r="H21" s="206"/>
      <c r="I21" s="207">
        <f>SUM(I14:I20)</f>
        <v>224.26999999999998</v>
      </c>
      <c r="J21" s="206">
        <v>127.79</v>
      </c>
      <c r="K21" s="208">
        <f>J21-I21</f>
        <v>-96.479999999999976</v>
      </c>
    </row>
    <row r="22" spans="1:12" ht="18.75" hidden="1" x14ac:dyDescent="0.3">
      <c r="A22" s="462" t="s">
        <v>500</v>
      </c>
      <c r="B22" s="462"/>
      <c r="C22" s="462"/>
      <c r="D22" s="462"/>
      <c r="E22" s="462"/>
      <c r="F22" s="462"/>
      <c r="G22" s="462"/>
      <c r="H22" s="462"/>
      <c r="I22" s="462"/>
      <c r="J22" s="212"/>
    </row>
    <row r="23" spans="1:12" ht="18.75" hidden="1" x14ac:dyDescent="0.25">
      <c r="A23" s="369">
        <v>0.24</v>
      </c>
      <c r="B23" s="369">
        <v>0.03</v>
      </c>
      <c r="C23" s="369">
        <v>0.74</v>
      </c>
      <c r="D23" s="369">
        <v>4.2</v>
      </c>
      <c r="E23" s="370" t="str">
        <f>"7/10"</f>
        <v>7/10</v>
      </c>
      <c r="F23" s="265" t="s">
        <v>679</v>
      </c>
      <c r="G23" s="211" t="str">
        <f>IFERROR(VLOOKUP(F23,[1]Реестр!A:K,2,0),"")</f>
        <v/>
      </c>
      <c r="H23" s="210">
        <v>30</v>
      </c>
      <c r="I23" s="230">
        <v>16.100000000000001</v>
      </c>
      <c r="J23" s="212"/>
    </row>
    <row r="24" spans="1:12" ht="18.75" hidden="1" x14ac:dyDescent="0.3">
      <c r="A24" s="348">
        <v>19.440000000000001</v>
      </c>
      <c r="B24" s="348">
        <v>21.37</v>
      </c>
      <c r="C24" s="348">
        <v>55.36</v>
      </c>
      <c r="D24" s="348">
        <v>508.5</v>
      </c>
      <c r="E24" s="349" t="str">
        <f>"8/35"</f>
        <v>8/35</v>
      </c>
      <c r="F24" s="349" t="s">
        <v>549</v>
      </c>
      <c r="G24" s="211" t="str">
        <f>IFERROR(VLOOKUP(F24,[2]Реестр!A:K,2,0),"")</f>
        <v/>
      </c>
      <c r="H24" s="206">
        <v>250</v>
      </c>
      <c r="I24" s="206">
        <v>140.84</v>
      </c>
      <c r="J24" s="201" t="str">
        <f>IFERROR(VLOOKUP(O24,Реестр!#REF!,3,0)*Q24/P24,"")</f>
        <v/>
      </c>
    </row>
    <row r="25" spans="1:12" ht="18.75" hidden="1" x14ac:dyDescent="0.3">
      <c r="A25" s="263">
        <v>0.14000000000000001</v>
      </c>
      <c r="B25" s="263">
        <v>0.1</v>
      </c>
      <c r="C25" s="263">
        <v>1.5</v>
      </c>
      <c r="D25" s="263">
        <v>83.962620000000015</v>
      </c>
      <c r="E25" s="349" t="str">
        <f>"11/1"</f>
        <v>11/1</v>
      </c>
      <c r="F25" s="349" t="s">
        <v>317</v>
      </c>
      <c r="G25" s="211">
        <f>IFERROR(VLOOKUP(F25,[2]Реестр!A:K,2,0),"")</f>
        <v>200</v>
      </c>
      <c r="H25" s="206">
        <v>200</v>
      </c>
      <c r="I25" s="207">
        <v>12.8</v>
      </c>
      <c r="J25" s="201"/>
    </row>
    <row r="26" spans="1:12" ht="18.75" hidden="1" x14ac:dyDescent="0.3">
      <c r="A26" s="209">
        <v>2.64</v>
      </c>
      <c r="B26" s="209">
        <v>0.24</v>
      </c>
      <c r="C26" s="209">
        <v>18.72</v>
      </c>
      <c r="D26" s="209">
        <v>89.6</v>
      </c>
      <c r="E26" s="210" t="s">
        <v>471</v>
      </c>
      <c r="F26" s="217" t="s">
        <v>66</v>
      </c>
      <c r="G26" s="211" t="str">
        <f>IFERROR(VLOOKUP(F26,[2]Реестр!A:K,2,0),"")</f>
        <v>100</v>
      </c>
      <c r="H26" s="206">
        <v>40</v>
      </c>
      <c r="I26" s="207">
        <v>3.6</v>
      </c>
      <c r="J26" s="201" t="str">
        <f>IFERROR(VLOOKUP(O26,Реестр!#REF!,3,0)*Q26/P26,"")</f>
        <v/>
      </c>
    </row>
    <row r="27" spans="1:12" ht="18.75" hidden="1" x14ac:dyDescent="0.3">
      <c r="A27" s="209">
        <v>2.64</v>
      </c>
      <c r="B27" s="209">
        <v>0.48</v>
      </c>
      <c r="C27" s="209">
        <v>13.36</v>
      </c>
      <c r="D27" s="209">
        <v>77.2</v>
      </c>
      <c r="E27" s="210" t="s">
        <v>471</v>
      </c>
      <c r="F27" s="217" t="s">
        <v>65</v>
      </c>
      <c r="G27" s="211" t="str">
        <f>IFERROR(VLOOKUP(F27,[2]Реестр!A:K,2,0),"")</f>
        <v>100</v>
      </c>
      <c r="H27" s="206">
        <v>40</v>
      </c>
      <c r="I27" s="207">
        <v>3.6</v>
      </c>
      <c r="J27" s="201"/>
    </row>
    <row r="28" spans="1:12" ht="18.75" hidden="1" x14ac:dyDescent="0.3">
      <c r="A28" s="196"/>
      <c r="B28" s="196"/>
      <c r="C28" s="196"/>
      <c r="D28" s="196"/>
      <c r="E28" s="197"/>
      <c r="F28" s="204"/>
      <c r="G28" s="199"/>
      <c r="H28" s="200"/>
      <c r="I28" s="203"/>
      <c r="J28" s="201" t="str">
        <f>IFERROR(VLOOKUP(O28,Реестр!#REF!,3,0)*Q28/P28,"")</f>
        <v/>
      </c>
    </row>
    <row r="29" spans="1:12" ht="18.75" hidden="1" x14ac:dyDescent="0.3">
      <c r="A29" s="453" t="s">
        <v>16</v>
      </c>
      <c r="B29" s="454"/>
      <c r="C29" s="454"/>
      <c r="D29" s="454"/>
      <c r="E29" s="454"/>
      <c r="F29" s="455"/>
      <c r="G29" s="205"/>
      <c r="H29" s="206"/>
      <c r="I29" s="207">
        <f>SUM(I23:I28)</f>
        <v>176.94</v>
      </c>
      <c r="J29" s="206">
        <v>98.52</v>
      </c>
      <c r="K29" s="208">
        <f>I29-J29</f>
        <v>78.42</v>
      </c>
      <c r="L29" s="208"/>
    </row>
    <row r="30" spans="1:12" ht="18.75" hidden="1" x14ac:dyDescent="0.3">
      <c r="A30" s="462" t="s">
        <v>501</v>
      </c>
      <c r="B30" s="462"/>
      <c r="C30" s="462"/>
      <c r="D30" s="462"/>
      <c r="E30" s="462"/>
      <c r="F30" s="462"/>
      <c r="G30" s="462"/>
      <c r="H30" s="462"/>
      <c r="I30" s="462"/>
      <c r="J30" s="201"/>
    </row>
    <row r="31" spans="1:12" ht="18.75" hidden="1" x14ac:dyDescent="0.3">
      <c r="A31" s="368">
        <v>1.29</v>
      </c>
      <c r="B31" s="368">
        <v>5.97</v>
      </c>
      <c r="C31" s="368">
        <v>7.97</v>
      </c>
      <c r="D31" s="368">
        <v>86.23</v>
      </c>
      <c r="E31" s="357" t="str">
        <f>"7/80"</f>
        <v>7/80</v>
      </c>
      <c r="F31" s="228" t="s">
        <v>680</v>
      </c>
      <c r="G31" s="211" t="str">
        <f>IFERROR(VLOOKUP(F31,[2]Реестр!A:K,2,0),"")</f>
        <v/>
      </c>
      <c r="H31" s="210">
        <v>100</v>
      </c>
      <c r="I31" s="230">
        <v>52.76</v>
      </c>
      <c r="J31" s="201"/>
    </row>
    <row r="32" spans="1:12" ht="18.75" hidden="1" x14ac:dyDescent="0.3">
      <c r="A32" s="209">
        <v>8.9166666666666661</v>
      </c>
      <c r="B32" s="209">
        <v>7.75</v>
      </c>
      <c r="C32" s="209">
        <v>19.5</v>
      </c>
      <c r="D32" s="209">
        <v>185</v>
      </c>
      <c r="E32" s="210" t="s">
        <v>213</v>
      </c>
      <c r="F32" s="398" t="s">
        <v>212</v>
      </c>
      <c r="G32" s="211" t="str">
        <f>IFERROR(VLOOKUP(F32,[2]Реестр!A:K,2,0),"")</f>
        <v>300</v>
      </c>
      <c r="H32" s="206">
        <v>250</v>
      </c>
      <c r="I32" s="207">
        <v>50</v>
      </c>
      <c r="J32" s="206"/>
      <c r="K32" s="208">
        <f>I38-J32</f>
        <v>265.39999999999998</v>
      </c>
    </row>
    <row r="33" spans="1:12" ht="18.75" hidden="1" x14ac:dyDescent="0.3">
      <c r="A33" s="348">
        <v>19.440000000000001</v>
      </c>
      <c r="B33" s="348">
        <v>21.37</v>
      </c>
      <c r="C33" s="348">
        <v>55.36</v>
      </c>
      <c r="D33" s="348">
        <v>508.5</v>
      </c>
      <c r="E33" s="349" t="str">
        <f>"8/35"</f>
        <v>8/35</v>
      </c>
      <c r="F33" s="349" t="s">
        <v>549</v>
      </c>
      <c r="G33" s="211" t="str">
        <f>IFERROR(VLOOKUP(F33,[2]Реестр!A:K,2,0),"")</f>
        <v/>
      </c>
      <c r="H33" s="206">
        <v>250</v>
      </c>
      <c r="I33" s="206">
        <v>140.84</v>
      </c>
      <c r="J33" s="212"/>
    </row>
    <row r="34" spans="1:12" ht="18.75" hidden="1" x14ac:dyDescent="0.3">
      <c r="A34" s="263">
        <v>0.14000000000000001</v>
      </c>
      <c r="B34" s="263">
        <v>0.1</v>
      </c>
      <c r="C34" s="263">
        <v>1.5</v>
      </c>
      <c r="D34" s="263">
        <v>83.962620000000015</v>
      </c>
      <c r="E34" s="349" t="str">
        <f>"11/1"</f>
        <v>11/1</v>
      </c>
      <c r="F34" s="349" t="s">
        <v>317</v>
      </c>
      <c r="G34" s="211">
        <f>IFERROR(VLOOKUP(F34,[2]Реестр!A:K,2,0),"")</f>
        <v>200</v>
      </c>
      <c r="H34" s="206">
        <v>200</v>
      </c>
      <c r="I34" s="207">
        <v>12.8</v>
      </c>
      <c r="J34" s="212"/>
    </row>
    <row r="35" spans="1:12" ht="18.75" hidden="1" x14ac:dyDescent="0.3">
      <c r="A35" s="209">
        <v>3.3</v>
      </c>
      <c r="B35" s="209">
        <v>0.3</v>
      </c>
      <c r="C35" s="209">
        <v>23.4</v>
      </c>
      <c r="D35" s="209">
        <v>112</v>
      </c>
      <c r="E35" s="210" t="s">
        <v>471</v>
      </c>
      <c r="F35" s="217" t="s">
        <v>66</v>
      </c>
      <c r="G35" s="211" t="str">
        <f>IFERROR(VLOOKUP(F35,[2]Реестр!A:K,2,0),"")</f>
        <v>100</v>
      </c>
      <c r="H35" s="206">
        <v>50</v>
      </c>
      <c r="I35" s="207">
        <v>4.5</v>
      </c>
      <c r="J35" s="212"/>
    </row>
    <row r="36" spans="1:12" ht="18.75" hidden="1" x14ac:dyDescent="0.3">
      <c r="A36" s="209">
        <v>3.3</v>
      </c>
      <c r="B36" s="209">
        <v>0.6</v>
      </c>
      <c r="C36" s="209">
        <v>16.7</v>
      </c>
      <c r="D36" s="209">
        <v>96.5</v>
      </c>
      <c r="E36" s="210" t="s">
        <v>471</v>
      </c>
      <c r="F36" s="217" t="s">
        <v>65</v>
      </c>
      <c r="G36" s="211" t="str">
        <f>IFERROR(VLOOKUP(F36,[2]Реестр!A:K,2,0),"")</f>
        <v>100</v>
      </c>
      <c r="H36" s="206">
        <v>50</v>
      </c>
      <c r="I36" s="207">
        <v>4.5</v>
      </c>
      <c r="J36" s="394"/>
    </row>
    <row r="37" spans="1:12" ht="18.75" hidden="1" x14ac:dyDescent="0.3">
      <c r="A37" s="209"/>
      <c r="B37" s="209"/>
      <c r="C37" s="209"/>
      <c r="D37" s="209"/>
      <c r="E37" s="218"/>
      <c r="F37" s="217"/>
      <c r="G37" s="211"/>
      <c r="H37" s="206"/>
      <c r="I37" s="207"/>
      <c r="J37" s="394"/>
    </row>
    <row r="38" spans="1:12" ht="18.75" hidden="1" x14ac:dyDescent="0.3">
      <c r="A38" s="453" t="s">
        <v>16</v>
      </c>
      <c r="B38" s="454"/>
      <c r="C38" s="454"/>
      <c r="D38" s="454"/>
      <c r="E38" s="454"/>
      <c r="F38" s="455"/>
      <c r="G38" s="205"/>
      <c r="H38" s="206"/>
      <c r="I38" s="207">
        <f>SUM(I31:I37)</f>
        <v>265.39999999999998</v>
      </c>
      <c r="J38" s="206">
        <v>147.79</v>
      </c>
      <c r="K38" s="208">
        <f>I38-J38</f>
        <v>117.60999999999999</v>
      </c>
    </row>
    <row r="39" spans="1:12" ht="18.75" x14ac:dyDescent="0.3">
      <c r="A39" s="462" t="s">
        <v>18</v>
      </c>
      <c r="B39" s="462"/>
      <c r="C39" s="462"/>
      <c r="D39" s="462"/>
      <c r="E39" s="462"/>
      <c r="F39" s="462"/>
      <c r="G39" s="462"/>
      <c r="H39" s="462"/>
      <c r="I39" s="462"/>
      <c r="J39" s="394"/>
    </row>
    <row r="40" spans="1:12" ht="18.75" x14ac:dyDescent="0.3">
      <c r="A40" s="462" t="s">
        <v>19</v>
      </c>
      <c r="B40" s="462"/>
      <c r="C40" s="462"/>
      <c r="D40" s="462"/>
      <c r="E40" s="462"/>
      <c r="F40" s="462"/>
      <c r="G40" s="462"/>
      <c r="H40" s="462"/>
      <c r="I40" s="462"/>
      <c r="J40" s="394"/>
    </row>
    <row r="41" spans="1:12" ht="18.75" x14ac:dyDescent="0.3">
      <c r="A41" s="243">
        <v>4.2300000000000004</v>
      </c>
      <c r="B41" s="243">
        <v>4.96</v>
      </c>
      <c r="C41" s="243">
        <v>38.700000000000003</v>
      </c>
      <c r="D41" s="243">
        <v>228.9</v>
      </c>
      <c r="E41" s="242" t="str">
        <f>"1/50"</f>
        <v>1/50</v>
      </c>
      <c r="F41" s="242" t="s">
        <v>706</v>
      </c>
      <c r="G41" s="211" t="str">
        <f>IFERROR(VLOOKUP(F41,[1]Реестр!A:K,2,0),"")</f>
        <v/>
      </c>
      <c r="H41" s="210">
        <v>30</v>
      </c>
      <c r="I41" s="207">
        <v>38.369999999999997</v>
      </c>
      <c r="J41" s="394" t="s">
        <v>20</v>
      </c>
    </row>
    <row r="42" spans="1:12" ht="18.75" x14ac:dyDescent="0.3">
      <c r="A42" s="243">
        <v>13.79</v>
      </c>
      <c r="B42" s="243">
        <v>14.6</v>
      </c>
      <c r="C42" s="243">
        <v>23.4</v>
      </c>
      <c r="D42" s="243">
        <v>266.7</v>
      </c>
      <c r="E42" s="242" t="str">
        <f>"4/56"</f>
        <v>4/56</v>
      </c>
      <c r="F42" s="242" t="s">
        <v>705</v>
      </c>
      <c r="G42" s="211"/>
      <c r="H42" s="210">
        <v>150</v>
      </c>
      <c r="I42" s="207">
        <v>75.42</v>
      </c>
      <c r="J42" s="394" t="s">
        <v>537</v>
      </c>
      <c r="K42" s="237"/>
      <c r="L42" s="237"/>
    </row>
    <row r="43" spans="1:12" ht="18.75" x14ac:dyDescent="0.3">
      <c r="A43" s="243">
        <v>0.18</v>
      </c>
      <c r="B43" s="243">
        <v>0.04</v>
      </c>
      <c r="C43" s="243">
        <v>13.75</v>
      </c>
      <c r="D43" s="243">
        <v>53.136642799999997</v>
      </c>
      <c r="E43" s="242" t="str">
        <f>"11/56"</f>
        <v>11/56</v>
      </c>
      <c r="F43" s="242" t="s">
        <v>499</v>
      </c>
      <c r="G43" s="211"/>
      <c r="H43" s="210">
        <v>200</v>
      </c>
      <c r="I43" s="207">
        <v>8.15</v>
      </c>
      <c r="J43" s="394" t="s">
        <v>477</v>
      </c>
      <c r="K43" s="237"/>
      <c r="L43" s="237"/>
    </row>
    <row r="44" spans="1:12" ht="18.75" x14ac:dyDescent="0.3">
      <c r="A44" s="264">
        <v>1.3</v>
      </c>
      <c r="B44" s="264">
        <v>0.2</v>
      </c>
      <c r="C44" s="264">
        <v>6.7</v>
      </c>
      <c r="D44" s="264">
        <v>39</v>
      </c>
      <c r="E44" s="381" t="str">
        <f>"-"</f>
        <v>-</v>
      </c>
      <c r="F44" s="381" t="s">
        <v>707</v>
      </c>
      <c r="G44" s="211"/>
      <c r="H44" s="206">
        <v>20</v>
      </c>
      <c r="I44" s="207">
        <v>1.8</v>
      </c>
      <c r="J44" s="394" t="s">
        <v>479</v>
      </c>
      <c r="K44" s="237"/>
      <c r="L44" s="237"/>
    </row>
    <row r="45" spans="1:12" ht="18.75" x14ac:dyDescent="0.3">
      <c r="A45" s="264">
        <v>0.52</v>
      </c>
      <c r="B45" s="264">
        <v>0.52</v>
      </c>
      <c r="C45" s="264">
        <v>15.08</v>
      </c>
      <c r="D45" s="264">
        <v>63.283999999999985</v>
      </c>
      <c r="E45" s="381" t="str">
        <f>"-"</f>
        <v>-</v>
      </c>
      <c r="F45" s="381" t="s">
        <v>708</v>
      </c>
      <c r="G45" s="211"/>
      <c r="H45" s="206">
        <v>130</v>
      </c>
      <c r="I45" s="207">
        <v>25.78</v>
      </c>
      <c r="J45" s="394" t="s">
        <v>475</v>
      </c>
      <c r="K45" s="238"/>
      <c r="L45" s="237"/>
    </row>
    <row r="46" spans="1:12" ht="18.75" x14ac:dyDescent="0.3">
      <c r="A46" s="465" t="s">
        <v>25</v>
      </c>
      <c r="B46" s="466"/>
      <c r="C46" s="466"/>
      <c r="D46" s="466"/>
      <c r="E46" s="466"/>
      <c r="F46" s="466"/>
      <c r="G46" s="466"/>
      <c r="H46" s="466"/>
      <c r="I46" s="467"/>
      <c r="J46" s="394"/>
    </row>
    <row r="47" spans="1:12" s="234" customFormat="1" ht="30" x14ac:dyDescent="0.25">
      <c r="A47" s="383">
        <v>1.33</v>
      </c>
      <c r="B47" s="383">
        <v>5.12</v>
      </c>
      <c r="C47" s="383">
        <v>4.0999999999999996</v>
      </c>
      <c r="D47" s="383">
        <v>73.52</v>
      </c>
      <c r="E47" s="382" t="s">
        <v>709</v>
      </c>
      <c r="F47" s="242" t="s">
        <v>710</v>
      </c>
      <c r="G47" s="211" t="str">
        <f>IFERROR(VLOOKUP(F47,[2]Реестр!A:K,2,0),"")</f>
        <v/>
      </c>
      <c r="H47" s="210">
        <v>80</v>
      </c>
      <c r="I47" s="230">
        <v>44.94</v>
      </c>
      <c r="J47" s="239" t="s">
        <v>538</v>
      </c>
    </row>
    <row r="48" spans="1:12" ht="18.75" x14ac:dyDescent="0.3">
      <c r="A48" s="263">
        <v>4.1100000000000003</v>
      </c>
      <c r="B48" s="263">
        <v>4.7699999999999996</v>
      </c>
      <c r="C48" s="263">
        <v>19.5</v>
      </c>
      <c r="D48" s="263">
        <v>143.13</v>
      </c>
      <c r="E48" s="242" t="s">
        <v>711</v>
      </c>
      <c r="F48" s="242" t="s">
        <v>716</v>
      </c>
      <c r="G48" s="211" t="str">
        <f>IFERROR(VLOOKUP(F48,[2]Реестр!A:K,2,0),"")</f>
        <v/>
      </c>
      <c r="H48" s="206">
        <v>250</v>
      </c>
      <c r="I48" s="207">
        <v>50</v>
      </c>
      <c r="J48" s="394" t="s">
        <v>478</v>
      </c>
    </row>
    <row r="49" spans="1:11" ht="18.75" x14ac:dyDescent="0.3">
      <c r="A49" s="263">
        <v>15.55</v>
      </c>
      <c r="B49" s="263">
        <v>15.4</v>
      </c>
      <c r="C49" s="263">
        <v>57.1</v>
      </c>
      <c r="D49" s="263">
        <v>364.2</v>
      </c>
      <c r="E49" s="242" t="s">
        <v>712</v>
      </c>
      <c r="F49" s="242" t="s">
        <v>713</v>
      </c>
      <c r="G49" s="211" t="str">
        <f>IFERROR(VLOOKUP(F49,[2]Реестр!A:K,2,0),"")</f>
        <v/>
      </c>
      <c r="H49" s="206">
        <v>200</v>
      </c>
      <c r="I49" s="206">
        <v>102.59</v>
      </c>
      <c r="J49" s="394" t="s">
        <v>537</v>
      </c>
    </row>
    <row r="50" spans="1:11" ht="18.75" x14ac:dyDescent="0.3">
      <c r="A50" s="263">
        <v>0.18</v>
      </c>
      <c r="B50" s="263">
        <v>0.05</v>
      </c>
      <c r="C50" s="263">
        <v>0.32</v>
      </c>
      <c r="D50" s="263">
        <v>37.582527999999996</v>
      </c>
      <c r="E50" s="242" t="s">
        <v>714</v>
      </c>
      <c r="F50" s="242" t="s">
        <v>328</v>
      </c>
      <c r="G50" s="211">
        <f>IFERROR(VLOOKUP(F50,[2]Реестр!A:K,2,0),"")</f>
        <v>200</v>
      </c>
      <c r="H50" s="206">
        <v>200</v>
      </c>
      <c r="I50" s="207">
        <v>19.54</v>
      </c>
      <c r="J50" s="394" t="s">
        <v>29</v>
      </c>
    </row>
    <row r="51" spans="1:11" ht="18.75" x14ac:dyDescent="0.3">
      <c r="A51" s="264">
        <v>3.3</v>
      </c>
      <c r="B51" s="264">
        <v>0.3</v>
      </c>
      <c r="C51" s="264">
        <v>23.4</v>
      </c>
      <c r="D51" s="264">
        <v>112</v>
      </c>
      <c r="E51" s="242" t="s">
        <v>471</v>
      </c>
      <c r="F51" s="242" t="s">
        <v>715</v>
      </c>
      <c r="G51" s="211" t="str">
        <f>IFERROR(VLOOKUP(F51,[2]Реестр!A:K,2,0),"")</f>
        <v/>
      </c>
      <c r="H51" s="206">
        <v>50</v>
      </c>
      <c r="I51" s="207">
        <v>4.5</v>
      </c>
      <c r="J51" s="394" t="s">
        <v>479</v>
      </c>
    </row>
    <row r="52" spans="1:11" ht="18.75" x14ac:dyDescent="0.3">
      <c r="A52" s="241">
        <v>2</v>
      </c>
      <c r="B52" s="241">
        <v>0.4</v>
      </c>
      <c r="C52" s="241">
        <v>10</v>
      </c>
      <c r="D52" s="241">
        <v>58</v>
      </c>
      <c r="E52" s="381" t="s">
        <v>471</v>
      </c>
      <c r="F52" s="381" t="s">
        <v>707</v>
      </c>
      <c r="G52" s="211" t="str">
        <f>IFERROR(VLOOKUP(F52,[2]Реестр!A:K,2,0),"")</f>
        <v/>
      </c>
      <c r="H52" s="206">
        <v>30</v>
      </c>
      <c r="I52" s="203">
        <v>2.7</v>
      </c>
      <c r="J52" s="394" t="s">
        <v>539</v>
      </c>
    </row>
    <row r="53" spans="1:11" ht="18.75" x14ac:dyDescent="0.3">
      <c r="A53" s="196"/>
      <c r="B53" s="196"/>
      <c r="C53" s="196"/>
      <c r="D53" s="196"/>
      <c r="E53" s="214"/>
      <c r="F53" s="204"/>
      <c r="G53" s="199"/>
      <c r="H53" s="200"/>
      <c r="I53" s="203"/>
      <c r="J53" s="394" t="s">
        <v>540</v>
      </c>
    </row>
    <row r="54" spans="1:11" ht="18.75" x14ac:dyDescent="0.3">
      <c r="A54" s="464" t="s">
        <v>16</v>
      </c>
      <c r="B54" s="464"/>
      <c r="C54" s="464"/>
      <c r="D54" s="464"/>
      <c r="E54" s="464"/>
      <c r="F54" s="464"/>
      <c r="G54" s="206"/>
      <c r="H54" s="206"/>
      <c r="I54" s="207">
        <f>SUM(I41:I45,I47:I53)</f>
        <v>373.78999999999996</v>
      </c>
      <c r="J54" s="206">
        <v>212.99</v>
      </c>
      <c r="K54" s="208">
        <f>I54-J54</f>
        <v>160.79999999999995</v>
      </c>
    </row>
    <row r="55" spans="1:11" ht="18.75" hidden="1" x14ac:dyDescent="0.3">
      <c r="A55" s="465" t="s">
        <v>33</v>
      </c>
      <c r="B55" s="466"/>
      <c r="C55" s="466"/>
      <c r="D55" s="466"/>
      <c r="E55" s="466"/>
      <c r="F55" s="466"/>
      <c r="G55" s="466"/>
      <c r="H55" s="466"/>
      <c r="I55" s="467"/>
      <c r="J55" s="394"/>
    </row>
    <row r="56" spans="1:11" ht="18.75" hidden="1" x14ac:dyDescent="0.3">
      <c r="A56" s="465" t="s">
        <v>19</v>
      </c>
      <c r="B56" s="466"/>
      <c r="C56" s="466"/>
      <c r="D56" s="466"/>
      <c r="E56" s="466"/>
      <c r="F56" s="466"/>
      <c r="G56" s="466"/>
      <c r="H56" s="466"/>
      <c r="I56" s="467"/>
      <c r="J56" s="394"/>
    </row>
    <row r="57" spans="1:11" ht="18.75" hidden="1" customHeight="1" x14ac:dyDescent="0.3">
      <c r="A57" s="209">
        <f>IFERROR(VLOOKUP(F57,[1]Реестр!A:K,3,0)*H57/G57,"")</f>
        <v>5.08</v>
      </c>
      <c r="B57" s="209">
        <f>IFERROR(VLOOKUP(F57,[1]Реестр!A:K,4,0)*H57/G57,"")</f>
        <v>11.55</v>
      </c>
      <c r="C57" s="209">
        <f>IFERROR(VLOOKUP(F57,[1]Реестр!A:K,5,0)*H57/G57,"")</f>
        <v>9.9700000000000006</v>
      </c>
      <c r="D57" s="209">
        <f>IFERROR(VLOOKUP(F57,[1]Реестр!A:K,6,0)*H57/G57,"")</f>
        <v>164.15</v>
      </c>
      <c r="E57" s="210" t="str">
        <f>IFERROR(VLOOKUP(F57,[1]Реестр!A:K,11,0),"")</f>
        <v>1*51</v>
      </c>
      <c r="F57" s="398" t="s">
        <v>91</v>
      </c>
      <c r="G57" s="211" t="str">
        <f>IFERROR(VLOOKUP(F57,[1]Реестр!A:K,2,0),"")</f>
        <v>45</v>
      </c>
      <c r="H57" s="206">
        <v>45</v>
      </c>
      <c r="I57" s="207">
        <v>57.2</v>
      </c>
      <c r="J57" s="394" t="s">
        <v>20</v>
      </c>
    </row>
    <row r="58" spans="1:11" ht="18.75" hidden="1" customHeight="1" x14ac:dyDescent="0.3">
      <c r="A58" s="347">
        <v>10.61</v>
      </c>
      <c r="B58" s="347">
        <v>10.17</v>
      </c>
      <c r="C58" s="347">
        <v>47.32</v>
      </c>
      <c r="D58" s="347">
        <v>321.17797790000003</v>
      </c>
      <c r="E58" s="349" t="str">
        <f>"2/57"</f>
        <v>2/57</v>
      </c>
      <c r="F58" s="349" t="s">
        <v>665</v>
      </c>
      <c r="G58" s="211" t="str">
        <f>IFERROR(VLOOKUP(F58,[1]Реестр!A:K,2,0),"")</f>
        <v/>
      </c>
      <c r="H58" s="210">
        <v>250</v>
      </c>
      <c r="I58" s="207">
        <v>61.16</v>
      </c>
      <c r="J58" s="394" t="s">
        <v>537</v>
      </c>
    </row>
    <row r="59" spans="1:11" ht="18.75" hidden="1" customHeight="1" x14ac:dyDescent="0.3">
      <c r="A59" s="209">
        <f>IFERROR(VLOOKUP(F59,[1]Реестр!A:K,3,0)*H59/G59,"")</f>
        <v>0.2</v>
      </c>
      <c r="B59" s="209">
        <f>IFERROR(VLOOKUP(F59,[1]Реестр!A:K,4,0)*H59/G59,"")</f>
        <v>0.12</v>
      </c>
      <c r="C59" s="209">
        <f>IFERROR(VLOOKUP(F59,[1]Реестр!A:K,5,0)*H59/G59,"")</f>
        <v>11.44</v>
      </c>
      <c r="D59" s="209">
        <f>IFERROR(VLOOKUP(F59,[1]Реестр!A:K,6,0)*H59/G59,"")</f>
        <v>46.4</v>
      </c>
      <c r="E59" s="210" t="str">
        <f>IFERROR(VLOOKUP(F59,[1]Реестр!A:K,11,0),"")</f>
        <v>12*2</v>
      </c>
      <c r="F59" s="398" t="s">
        <v>371</v>
      </c>
      <c r="G59" s="211" t="str">
        <f>IFERROR(VLOOKUP(F59,[1]Реестр!A:K,2,0),"")</f>
        <v>100</v>
      </c>
      <c r="H59" s="210">
        <v>40</v>
      </c>
      <c r="I59" s="207">
        <v>32.78</v>
      </c>
      <c r="J59" s="394" t="s">
        <v>477</v>
      </c>
    </row>
    <row r="60" spans="1:11" ht="18.75" hidden="1" customHeight="1" x14ac:dyDescent="0.3">
      <c r="A60" s="209">
        <f>IFERROR(VLOOKUP(F60,[1]Реестр!A:K,3,0)*H60/G60,"")</f>
        <v>1.4</v>
      </c>
      <c r="B60" s="209">
        <f>IFERROR(VLOOKUP(F60,[1]Реестр!A:K,4,0)*H60/G60,"")</f>
        <v>1.1000000000000001</v>
      </c>
      <c r="C60" s="209">
        <f>IFERROR(VLOOKUP(F60,[1]Реестр!A:K,5,0)*H60/G60,"")</f>
        <v>16.600000000000001</v>
      </c>
      <c r="D60" s="209">
        <f>IFERROR(VLOOKUP(F60,[1]Реестр!A:K,6,0)*H60/G60,"")</f>
        <v>79</v>
      </c>
      <c r="E60" s="349" t="str">
        <f>"11/59"</f>
        <v>11/59</v>
      </c>
      <c r="F60" s="349" t="s">
        <v>357</v>
      </c>
      <c r="G60" s="211" t="str">
        <f>IFERROR(VLOOKUP(F60,[1]Реестр!A:K,2,0),"")</f>
        <v>200</v>
      </c>
      <c r="H60" s="206">
        <v>200</v>
      </c>
      <c r="I60" s="207">
        <v>22.2</v>
      </c>
      <c r="J60" s="394" t="s">
        <v>541</v>
      </c>
      <c r="K60" s="237"/>
    </row>
    <row r="61" spans="1:11" ht="18.75" hidden="1" customHeight="1" x14ac:dyDescent="0.3">
      <c r="A61" s="209">
        <f>IFERROR(VLOOKUP(F61,[1]Реестр!A:K,3,0)*H61/G61,"")</f>
        <v>2.64</v>
      </c>
      <c r="B61" s="209">
        <f>IFERROR(VLOOKUP(F61,[1]Реестр!A:K,4,0)*H61/G61,"")</f>
        <v>0.48</v>
      </c>
      <c r="C61" s="209">
        <f>IFERROR(VLOOKUP(F61,[1]Реестр!A:K,5,0)*H61/G61,"")</f>
        <v>13.36</v>
      </c>
      <c r="D61" s="209">
        <f>IFERROR(VLOOKUP(F61,[1]Реестр!A:K,6,0)*H61/G61,"")</f>
        <v>77.2</v>
      </c>
      <c r="E61" s="210" t="str">
        <f>IFERROR(VLOOKUP(F61,[1]Реестр!A:K,11,0),"")</f>
        <v>-</v>
      </c>
      <c r="F61" s="217" t="s">
        <v>65</v>
      </c>
      <c r="G61" s="211" t="str">
        <f>IFERROR(VLOOKUP(F61,[1]Реестр!A:K,2,0),"")</f>
        <v>100</v>
      </c>
      <c r="H61" s="206">
        <v>40</v>
      </c>
      <c r="I61" s="207">
        <v>3.6</v>
      </c>
      <c r="J61" s="394" t="s">
        <v>475</v>
      </c>
      <c r="K61" s="237"/>
    </row>
    <row r="62" spans="1:11" ht="18.75" hidden="1" customHeight="1" x14ac:dyDescent="0.3">
      <c r="A62" s="465" t="s">
        <v>25</v>
      </c>
      <c r="B62" s="466"/>
      <c r="C62" s="466"/>
      <c r="D62" s="466"/>
      <c r="E62" s="466"/>
      <c r="F62" s="466"/>
      <c r="G62" s="466"/>
      <c r="H62" s="466"/>
      <c r="I62" s="467"/>
      <c r="J62" s="201" t="str">
        <f>IFERROR(VLOOKUP(O62,Реестр!#REF!,3,0)*Q62/P62,"")</f>
        <v/>
      </c>
      <c r="K62" s="237"/>
    </row>
    <row r="63" spans="1:11" s="234" customFormat="1" ht="31.5" hidden="1" customHeight="1" x14ac:dyDescent="0.25">
      <c r="A63" s="368">
        <v>1.29</v>
      </c>
      <c r="B63" s="368">
        <v>5.97</v>
      </c>
      <c r="C63" s="368">
        <v>7.97</v>
      </c>
      <c r="D63" s="368">
        <v>86.23</v>
      </c>
      <c r="E63" s="357" t="str">
        <f>"7/80"</f>
        <v>7/80</v>
      </c>
      <c r="F63" s="228" t="s">
        <v>680</v>
      </c>
      <c r="G63" s="211" t="str">
        <f>IFERROR(VLOOKUP(F63,[2]Реестр!A:K,2,0),"")</f>
        <v/>
      </c>
      <c r="H63" s="210">
        <v>100</v>
      </c>
      <c r="I63" s="230">
        <v>52.76</v>
      </c>
      <c r="J63" s="239" t="s">
        <v>538</v>
      </c>
      <c r="K63" s="240"/>
    </row>
    <row r="64" spans="1:11" ht="18.75" hidden="1" customHeight="1" x14ac:dyDescent="0.3">
      <c r="A64" s="209">
        <v>8.9166666666666661</v>
      </c>
      <c r="B64" s="209">
        <v>7.75</v>
      </c>
      <c r="C64" s="209">
        <v>19.5</v>
      </c>
      <c r="D64" s="209">
        <v>185</v>
      </c>
      <c r="E64" s="210" t="s">
        <v>213</v>
      </c>
      <c r="F64" s="398" t="s">
        <v>212</v>
      </c>
      <c r="G64" s="211" t="str">
        <f>IFERROR(VLOOKUP(F64,[2]Реестр!A:K,2,0),"")</f>
        <v>300</v>
      </c>
      <c r="H64" s="206">
        <v>250</v>
      </c>
      <c r="I64" s="207">
        <v>50</v>
      </c>
      <c r="J64" s="394" t="s">
        <v>478</v>
      </c>
      <c r="K64" s="237"/>
    </row>
    <row r="65" spans="1:12" ht="18.75" hidden="1" customHeight="1" x14ac:dyDescent="0.3">
      <c r="A65" s="348">
        <v>19.440000000000001</v>
      </c>
      <c r="B65" s="348">
        <v>21.37</v>
      </c>
      <c r="C65" s="348">
        <v>55.36</v>
      </c>
      <c r="D65" s="348">
        <v>508.5</v>
      </c>
      <c r="E65" s="349" t="str">
        <f>"8/35"</f>
        <v>8/35</v>
      </c>
      <c r="F65" s="349" t="s">
        <v>549</v>
      </c>
      <c r="G65" s="211" t="str">
        <f>IFERROR(VLOOKUP(F65,[2]Реестр!A:K,2,0),"")</f>
        <v/>
      </c>
      <c r="H65" s="206">
        <v>250</v>
      </c>
      <c r="I65" s="206">
        <v>140.84</v>
      </c>
      <c r="J65" s="394" t="s">
        <v>537</v>
      </c>
      <c r="K65" s="237"/>
    </row>
    <row r="66" spans="1:12" ht="18.75" hidden="1" customHeight="1" x14ac:dyDescent="0.3">
      <c r="A66" s="263">
        <v>0.14000000000000001</v>
      </c>
      <c r="B66" s="263">
        <v>0.1</v>
      </c>
      <c r="C66" s="263">
        <v>1.5</v>
      </c>
      <c r="D66" s="263">
        <v>83.962620000000015</v>
      </c>
      <c r="E66" s="349" t="str">
        <f>"11/1"</f>
        <v>11/1</v>
      </c>
      <c r="F66" s="349" t="s">
        <v>317</v>
      </c>
      <c r="G66" s="211">
        <f>IFERROR(VLOOKUP(F66,[2]Реестр!A:K,2,0),"")</f>
        <v>200</v>
      </c>
      <c r="H66" s="206">
        <v>200</v>
      </c>
      <c r="I66" s="207">
        <v>12.8</v>
      </c>
      <c r="J66" s="394" t="s">
        <v>29</v>
      </c>
      <c r="K66" s="237"/>
    </row>
    <row r="67" spans="1:12" ht="18.75" hidden="1" customHeight="1" x14ac:dyDescent="0.3">
      <c r="A67" s="209">
        <v>3.3</v>
      </c>
      <c r="B67" s="209">
        <v>0.3</v>
      </c>
      <c r="C67" s="209">
        <v>23.4</v>
      </c>
      <c r="D67" s="209">
        <v>112</v>
      </c>
      <c r="E67" s="210" t="s">
        <v>471</v>
      </c>
      <c r="F67" s="217" t="s">
        <v>66</v>
      </c>
      <c r="G67" s="211" t="str">
        <f>IFERROR(VLOOKUP(F67,[2]Реестр!A:K,2,0),"")</f>
        <v>100</v>
      </c>
      <c r="H67" s="206">
        <v>50</v>
      </c>
      <c r="I67" s="207">
        <v>4.5</v>
      </c>
      <c r="J67" s="394" t="s">
        <v>479</v>
      </c>
      <c r="K67" s="208"/>
    </row>
    <row r="68" spans="1:12" ht="18.75" hidden="1" customHeight="1" x14ac:dyDescent="0.3">
      <c r="A68" s="209">
        <v>3.3</v>
      </c>
      <c r="B68" s="209">
        <v>0.6</v>
      </c>
      <c r="C68" s="209">
        <v>16.7</v>
      </c>
      <c r="D68" s="209">
        <v>96.5</v>
      </c>
      <c r="E68" s="210" t="s">
        <v>471</v>
      </c>
      <c r="F68" s="217" t="s">
        <v>65</v>
      </c>
      <c r="G68" s="211" t="str">
        <f>IFERROR(VLOOKUP(F68,[2]Реестр!A:K,2,0),"")</f>
        <v>100</v>
      </c>
      <c r="H68" s="206">
        <v>50</v>
      </c>
      <c r="I68" s="207">
        <v>4.5</v>
      </c>
      <c r="J68" s="394" t="s">
        <v>23</v>
      </c>
    </row>
    <row r="69" spans="1:12" ht="18.75" hidden="1" customHeight="1" x14ac:dyDescent="0.3">
      <c r="A69" s="209"/>
      <c r="B69" s="209"/>
      <c r="C69" s="209"/>
      <c r="D69" s="209"/>
      <c r="E69" s="218"/>
      <c r="F69" s="217"/>
      <c r="G69" s="211"/>
      <c r="H69" s="206"/>
      <c r="I69" s="207"/>
      <c r="J69" s="394" t="s">
        <v>540</v>
      </c>
    </row>
    <row r="70" spans="1:12" ht="18" hidden="1" customHeight="1" x14ac:dyDescent="0.3">
      <c r="A70" s="464" t="s">
        <v>16</v>
      </c>
      <c r="B70" s="464"/>
      <c r="C70" s="464"/>
      <c r="D70" s="464"/>
      <c r="E70" s="464"/>
      <c r="F70" s="464"/>
      <c r="G70" s="206"/>
      <c r="H70" s="206"/>
      <c r="I70" s="207">
        <f>SUM(I57:I61)+SUM(I63:I69)</f>
        <v>442.33999999999992</v>
      </c>
      <c r="J70" s="201">
        <v>246.31</v>
      </c>
      <c r="K70" s="208">
        <f>J70-I70</f>
        <v>-196.02999999999992</v>
      </c>
    </row>
    <row r="71" spans="1:12" ht="18.75" hidden="1" x14ac:dyDescent="0.3">
      <c r="A71" s="465" t="s">
        <v>34</v>
      </c>
      <c r="B71" s="466"/>
      <c r="C71" s="466"/>
      <c r="D71" s="466"/>
      <c r="E71" s="466"/>
      <c r="F71" s="466"/>
      <c r="G71" s="466"/>
      <c r="H71" s="466"/>
      <c r="I71" s="467"/>
      <c r="J71" s="206"/>
      <c r="K71" s="208"/>
    </row>
    <row r="72" spans="1:12" ht="18.75" hidden="1" x14ac:dyDescent="0.25">
      <c r="A72" s="369">
        <v>0.24</v>
      </c>
      <c r="B72" s="369">
        <v>0.03</v>
      </c>
      <c r="C72" s="369">
        <v>0.74</v>
      </c>
      <c r="D72" s="369">
        <v>4.2</v>
      </c>
      <c r="E72" s="370" t="str">
        <f>"7/10"</f>
        <v>7/10</v>
      </c>
      <c r="F72" s="265" t="s">
        <v>679</v>
      </c>
      <c r="G72" s="211" t="str">
        <f>IFERROR(VLOOKUP(F72,[1]Реестр!A:K,2,0),"")</f>
        <v/>
      </c>
      <c r="H72" s="210">
        <v>30</v>
      </c>
      <c r="I72" s="230">
        <v>16.100000000000001</v>
      </c>
    </row>
    <row r="73" spans="1:12" ht="18.75" hidden="1" x14ac:dyDescent="0.3">
      <c r="A73" s="348">
        <v>19.440000000000001</v>
      </c>
      <c r="B73" s="348">
        <v>21.37</v>
      </c>
      <c r="C73" s="348">
        <v>55.36</v>
      </c>
      <c r="D73" s="348">
        <v>508.5</v>
      </c>
      <c r="E73" s="349" t="str">
        <f>"8/35"</f>
        <v>8/35</v>
      </c>
      <c r="F73" s="349" t="s">
        <v>549</v>
      </c>
      <c r="G73" s="211" t="str">
        <f>IFERROR(VLOOKUP(F73,[2]Реестр!A:K,2,0),"")</f>
        <v/>
      </c>
      <c r="H73" s="206">
        <v>250</v>
      </c>
      <c r="I73" s="206">
        <v>140.84</v>
      </c>
    </row>
    <row r="74" spans="1:12" ht="18.75" hidden="1" x14ac:dyDescent="0.3">
      <c r="A74" s="263">
        <v>0.14000000000000001</v>
      </c>
      <c r="B74" s="263">
        <v>0.1</v>
      </c>
      <c r="C74" s="263">
        <v>1.5</v>
      </c>
      <c r="D74" s="263">
        <v>83.962620000000015</v>
      </c>
      <c r="E74" s="349" t="str">
        <f>"11/1"</f>
        <v>11/1</v>
      </c>
      <c r="F74" s="349" t="s">
        <v>317</v>
      </c>
      <c r="G74" s="211">
        <f>IFERROR(VLOOKUP(F74,[2]Реестр!A:K,2,0),"")</f>
        <v>200</v>
      </c>
      <c r="H74" s="206">
        <v>200</v>
      </c>
      <c r="I74" s="207">
        <v>12.8</v>
      </c>
    </row>
    <row r="75" spans="1:12" ht="18.75" hidden="1" x14ac:dyDescent="0.3">
      <c r="A75" s="209">
        <v>2.64</v>
      </c>
      <c r="B75" s="209">
        <v>0.24</v>
      </c>
      <c r="C75" s="209">
        <v>18.72</v>
      </c>
      <c r="D75" s="209">
        <v>89.6</v>
      </c>
      <c r="E75" s="210" t="s">
        <v>471</v>
      </c>
      <c r="F75" s="217" t="s">
        <v>66</v>
      </c>
      <c r="G75" s="211" t="str">
        <f>IFERROR(VLOOKUP(F75,[2]Реестр!A:K,2,0),"")</f>
        <v>100</v>
      </c>
      <c r="H75" s="206">
        <v>40</v>
      </c>
      <c r="I75" s="207">
        <v>3.6</v>
      </c>
    </row>
    <row r="76" spans="1:12" ht="18.75" hidden="1" x14ac:dyDescent="0.3">
      <c r="A76" s="209">
        <v>2.64</v>
      </c>
      <c r="B76" s="209">
        <v>0.48</v>
      </c>
      <c r="C76" s="209">
        <v>13.36</v>
      </c>
      <c r="D76" s="209">
        <v>77.2</v>
      </c>
      <c r="E76" s="210" t="s">
        <v>471</v>
      </c>
      <c r="F76" s="217" t="s">
        <v>65</v>
      </c>
      <c r="G76" s="211" t="str">
        <f>IFERROR(VLOOKUP(F76,[2]Реестр!A:K,2,0),"")</f>
        <v>100</v>
      </c>
      <c r="H76" s="206">
        <v>40</v>
      </c>
      <c r="I76" s="207">
        <v>3.6</v>
      </c>
    </row>
    <row r="77" spans="1:12" ht="18.75" hidden="1" x14ac:dyDescent="0.3">
      <c r="A77" s="196"/>
      <c r="B77" s="196"/>
      <c r="C77" s="196"/>
      <c r="D77" s="196"/>
      <c r="E77" s="197"/>
      <c r="F77" s="204"/>
      <c r="G77" s="199"/>
      <c r="H77" s="200"/>
      <c r="I77" s="203"/>
    </row>
    <row r="78" spans="1:12" ht="18.75" hidden="1" x14ac:dyDescent="0.3">
      <c r="A78" s="453" t="s">
        <v>16</v>
      </c>
      <c r="B78" s="454"/>
      <c r="C78" s="454"/>
      <c r="D78" s="454"/>
      <c r="E78" s="454"/>
      <c r="F78" s="455"/>
      <c r="G78" s="205"/>
      <c r="H78" s="206"/>
      <c r="I78" s="207">
        <f>SUM(I72:I77)</f>
        <v>176.94</v>
      </c>
      <c r="J78" s="215">
        <v>98.52</v>
      </c>
      <c r="L78" s="208">
        <f>J78-I78</f>
        <v>-78.42</v>
      </c>
    </row>
    <row r="79" spans="1:12" ht="18.75" x14ac:dyDescent="0.25">
      <c r="A79" s="477" t="s">
        <v>35</v>
      </c>
      <c r="B79" s="478"/>
      <c r="C79" s="478"/>
      <c r="D79" s="478"/>
      <c r="E79" s="478"/>
      <c r="F79" s="478"/>
      <c r="G79" s="478"/>
      <c r="H79" s="478"/>
      <c r="I79" s="479"/>
    </row>
    <row r="80" spans="1:12" ht="18.75" x14ac:dyDescent="0.3">
      <c r="A80" s="219">
        <v>7.7</v>
      </c>
      <c r="B80" s="219">
        <v>7.42</v>
      </c>
      <c r="C80" s="219">
        <v>32.090000000000003</v>
      </c>
      <c r="D80" s="219">
        <v>225.88</v>
      </c>
      <c r="E80" s="416" t="s">
        <v>408</v>
      </c>
      <c r="F80" s="406" t="s">
        <v>529</v>
      </c>
      <c r="G80" s="211">
        <f>IFERROR(VLOOKUP(F80,[2]Реестр!A:K,2,0),"")</f>
        <v>100</v>
      </c>
      <c r="H80" s="206">
        <v>80</v>
      </c>
      <c r="I80" s="207">
        <v>50</v>
      </c>
      <c r="K80" s="208"/>
    </row>
    <row r="81" spans="1:12" ht="18.75" x14ac:dyDescent="0.3">
      <c r="A81" s="453" t="s">
        <v>16</v>
      </c>
      <c r="B81" s="454"/>
      <c r="C81" s="454"/>
      <c r="D81" s="454"/>
      <c r="E81" s="454"/>
      <c r="F81" s="455"/>
      <c r="G81" s="205"/>
      <c r="H81" s="206"/>
      <c r="I81" s="207">
        <f>I80</f>
        <v>50</v>
      </c>
      <c r="J81" s="215">
        <v>29</v>
      </c>
    </row>
    <row r="82" spans="1:12" ht="18.75" x14ac:dyDescent="0.3">
      <c r="A82" s="465" t="s">
        <v>36</v>
      </c>
      <c r="B82" s="466"/>
      <c r="C82" s="466"/>
      <c r="D82" s="466"/>
      <c r="E82" s="466"/>
      <c r="F82" s="466"/>
      <c r="G82" s="466"/>
      <c r="H82" s="466"/>
      <c r="I82" s="467"/>
    </row>
    <row r="83" spans="1:12" ht="18.75" x14ac:dyDescent="0.3">
      <c r="A83" s="263">
        <v>4.1100000000000003</v>
      </c>
      <c r="B83" s="263">
        <v>4.7699999999999996</v>
      </c>
      <c r="C83" s="263">
        <v>26.5</v>
      </c>
      <c r="D83" s="263">
        <v>213.5</v>
      </c>
      <c r="E83" s="242" t="s">
        <v>711</v>
      </c>
      <c r="F83" s="242" t="s">
        <v>716</v>
      </c>
      <c r="G83" s="211" t="str">
        <f>IFERROR(VLOOKUP(F83,[2]Реестр!A:K,2,0),"")</f>
        <v/>
      </c>
      <c r="H83" s="206">
        <v>250</v>
      </c>
      <c r="I83" s="207">
        <v>50</v>
      </c>
    </row>
    <row r="84" spans="1:12" ht="18.75" x14ac:dyDescent="0.3">
      <c r="A84" s="453" t="s">
        <v>16</v>
      </c>
      <c r="B84" s="454"/>
      <c r="C84" s="454"/>
      <c r="D84" s="454"/>
      <c r="E84" s="454"/>
      <c r="F84" s="455"/>
      <c r="G84" s="205"/>
      <c r="H84" s="206"/>
      <c r="I84" s="207">
        <f>SUM(I83:I83)</f>
        <v>50</v>
      </c>
      <c r="J84" s="215">
        <v>27</v>
      </c>
    </row>
    <row r="85" spans="1:12" ht="18.75" hidden="1" x14ac:dyDescent="0.3">
      <c r="A85" s="465" t="s">
        <v>503</v>
      </c>
      <c r="B85" s="466"/>
      <c r="C85" s="466"/>
      <c r="D85" s="466"/>
      <c r="E85" s="466"/>
      <c r="F85" s="466"/>
      <c r="G85" s="466"/>
      <c r="H85" s="466"/>
      <c r="I85" s="467"/>
    </row>
    <row r="86" spans="1:12" s="234" customFormat="1" ht="27" hidden="1" customHeight="1" x14ac:dyDescent="0.25">
      <c r="A86" s="368">
        <v>1.29</v>
      </c>
      <c r="B86" s="368">
        <v>5.97</v>
      </c>
      <c r="C86" s="368">
        <v>7.97</v>
      </c>
      <c r="D86" s="368">
        <v>86.23</v>
      </c>
      <c r="E86" s="357" t="str">
        <f>"7/80"</f>
        <v>7/80</v>
      </c>
      <c r="F86" s="228" t="s">
        <v>680</v>
      </c>
      <c r="G86" s="211" t="str">
        <f>IFERROR(VLOOKUP(F86,[2]Реестр!A:K,2,0),"")</f>
        <v/>
      </c>
      <c r="H86" s="210">
        <v>100</v>
      </c>
      <c r="I86" s="230">
        <v>52.76</v>
      </c>
      <c r="J86" s="268"/>
    </row>
    <row r="87" spans="1:12" ht="18.75" hidden="1" x14ac:dyDescent="0.3">
      <c r="A87" s="209">
        <v>8.9166666666666661</v>
      </c>
      <c r="B87" s="209">
        <v>7.75</v>
      </c>
      <c r="C87" s="209">
        <v>19.5</v>
      </c>
      <c r="D87" s="209">
        <v>185</v>
      </c>
      <c r="E87" s="210" t="s">
        <v>213</v>
      </c>
      <c r="F87" s="398" t="s">
        <v>212</v>
      </c>
      <c r="G87" s="211" t="str">
        <f>IFERROR(VLOOKUP(F87,[2]Реестр!A:K,2,0),"")</f>
        <v>300</v>
      </c>
      <c r="H87" s="206">
        <v>250</v>
      </c>
      <c r="I87" s="207">
        <v>50</v>
      </c>
    </row>
    <row r="88" spans="1:12" ht="18.75" hidden="1" x14ac:dyDescent="0.3">
      <c r="A88" s="348">
        <v>19.440000000000001</v>
      </c>
      <c r="B88" s="348">
        <v>21.37</v>
      </c>
      <c r="C88" s="348">
        <v>55.36</v>
      </c>
      <c r="D88" s="348">
        <v>508.5</v>
      </c>
      <c r="E88" s="349" t="str">
        <f>"8/35"</f>
        <v>8/35</v>
      </c>
      <c r="F88" s="349" t="s">
        <v>549</v>
      </c>
      <c r="G88" s="211" t="str">
        <f>IFERROR(VLOOKUP(F88,[2]Реестр!A:K,2,0),"")</f>
        <v/>
      </c>
      <c r="H88" s="206">
        <v>250</v>
      </c>
      <c r="I88" s="206">
        <v>140.84</v>
      </c>
    </row>
    <row r="89" spans="1:12" ht="18.75" hidden="1" x14ac:dyDescent="0.3">
      <c r="A89" s="263">
        <v>0.14000000000000001</v>
      </c>
      <c r="B89" s="263">
        <v>0.1</v>
      </c>
      <c r="C89" s="263">
        <v>1.5</v>
      </c>
      <c r="D89" s="263">
        <v>83.962620000000015</v>
      </c>
      <c r="E89" s="349" t="str">
        <f>"11/1"</f>
        <v>11/1</v>
      </c>
      <c r="F89" s="349" t="s">
        <v>317</v>
      </c>
      <c r="G89" s="211">
        <f>IFERROR(VLOOKUP(F89,[2]Реестр!A:K,2,0),"")</f>
        <v>200</v>
      </c>
      <c r="H89" s="206">
        <v>200</v>
      </c>
      <c r="I89" s="207">
        <v>12.8</v>
      </c>
    </row>
    <row r="90" spans="1:12" ht="18.75" hidden="1" x14ac:dyDescent="0.3">
      <c r="A90" s="209">
        <v>3.3</v>
      </c>
      <c r="B90" s="209">
        <v>0.3</v>
      </c>
      <c r="C90" s="209">
        <v>23.4</v>
      </c>
      <c r="D90" s="209">
        <v>112</v>
      </c>
      <c r="E90" s="210" t="s">
        <v>471</v>
      </c>
      <c r="F90" s="217" t="s">
        <v>66</v>
      </c>
      <c r="G90" s="211" t="str">
        <f>IFERROR(VLOOKUP(F90,[2]Реестр!A:K,2,0),"")</f>
        <v>100</v>
      </c>
      <c r="H90" s="206">
        <v>50</v>
      </c>
      <c r="I90" s="207">
        <v>4.5</v>
      </c>
    </row>
    <row r="91" spans="1:12" ht="18.75" hidden="1" x14ac:dyDescent="0.3">
      <c r="A91" s="209">
        <v>3.3</v>
      </c>
      <c r="B91" s="209">
        <v>0.6</v>
      </c>
      <c r="C91" s="209">
        <v>16.7</v>
      </c>
      <c r="D91" s="209">
        <v>96.5</v>
      </c>
      <c r="E91" s="210" t="s">
        <v>471</v>
      </c>
      <c r="F91" s="217" t="s">
        <v>65</v>
      </c>
      <c r="G91" s="211" t="str">
        <f>IFERROR(VLOOKUP(F91,[2]Реестр!A:K,2,0),"")</f>
        <v>100</v>
      </c>
      <c r="H91" s="206">
        <v>50</v>
      </c>
      <c r="I91" s="207">
        <v>4.5</v>
      </c>
    </row>
    <row r="92" spans="1:12" ht="18.75" hidden="1" x14ac:dyDescent="0.3">
      <c r="A92" s="196"/>
      <c r="B92" s="196"/>
      <c r="C92" s="196"/>
      <c r="D92" s="196"/>
      <c r="E92" s="214"/>
      <c r="F92" s="204"/>
      <c r="G92" s="199"/>
      <c r="H92" s="200"/>
      <c r="I92" s="203"/>
      <c r="K92" s="208"/>
    </row>
    <row r="93" spans="1:12" ht="18.75" hidden="1" x14ac:dyDescent="0.3">
      <c r="A93" s="464" t="s">
        <v>16</v>
      </c>
      <c r="B93" s="464"/>
      <c r="C93" s="464"/>
      <c r="D93" s="464"/>
      <c r="E93" s="464"/>
      <c r="F93" s="464"/>
      <c r="G93" s="205"/>
      <c r="H93" s="206"/>
      <c r="I93" s="207">
        <f>SUM(I86:I92)</f>
        <v>265.39999999999998</v>
      </c>
      <c r="J93" s="215">
        <v>147.79</v>
      </c>
      <c r="L93" s="208">
        <f>J93-I93</f>
        <v>-117.60999999999999</v>
      </c>
    </row>
    <row r="94" spans="1:12" ht="18.75" x14ac:dyDescent="0.3">
      <c r="A94" s="462" t="s">
        <v>544</v>
      </c>
      <c r="B94" s="462"/>
      <c r="C94" s="462"/>
      <c r="D94" s="462"/>
      <c r="E94" s="462"/>
      <c r="F94" s="462"/>
      <c r="G94" s="462"/>
      <c r="H94" s="462"/>
      <c r="I94" s="462"/>
      <c r="K94" s="208"/>
    </row>
    <row r="95" spans="1:12" ht="18.75" x14ac:dyDescent="0.25">
      <c r="A95" s="243">
        <v>3.76</v>
      </c>
      <c r="B95" s="243">
        <v>3.05</v>
      </c>
      <c r="C95" s="243">
        <v>13.8</v>
      </c>
      <c r="D95" s="243">
        <v>93.762559999999993</v>
      </c>
      <c r="E95" s="242" t="s">
        <v>732</v>
      </c>
      <c r="F95" s="387" t="s">
        <v>706</v>
      </c>
      <c r="G95" s="211" t="str">
        <f>IFERROR(VLOOKUP(F95,[1]Реестр!A:K,2,0),"")</f>
        <v/>
      </c>
      <c r="H95" s="243" t="s">
        <v>87</v>
      </c>
      <c r="I95" s="450">
        <v>149.52000000000001</v>
      </c>
      <c r="K95" s="208"/>
    </row>
    <row r="96" spans="1:12" ht="33.75" customHeight="1" x14ac:dyDescent="0.25">
      <c r="A96" s="243">
        <v>13.79</v>
      </c>
      <c r="B96" s="243">
        <v>20.23</v>
      </c>
      <c r="C96" s="243">
        <v>3.57</v>
      </c>
      <c r="D96" s="243">
        <v>251.02964924999998</v>
      </c>
      <c r="E96" s="242" t="s">
        <v>733</v>
      </c>
      <c r="F96" s="387" t="s">
        <v>705</v>
      </c>
      <c r="G96" s="211" t="str">
        <f>IFERROR(VLOOKUP(F96,[1]Реестр!A:K,2,0),"")</f>
        <v/>
      </c>
      <c r="H96" s="243" t="s">
        <v>147</v>
      </c>
      <c r="I96" s="451"/>
      <c r="K96" s="208"/>
    </row>
    <row r="97" spans="1:12" ht="18.75" x14ac:dyDescent="0.25">
      <c r="A97" s="243">
        <v>0.18</v>
      </c>
      <c r="B97" s="243">
        <v>0.04</v>
      </c>
      <c r="C97" s="243">
        <v>13.75</v>
      </c>
      <c r="D97" s="243">
        <v>53.136642799999997</v>
      </c>
      <c r="E97" s="242" t="s">
        <v>734</v>
      </c>
      <c r="F97" s="387" t="s">
        <v>632</v>
      </c>
      <c r="G97" s="211" t="str">
        <f>IFERROR(VLOOKUP(F97,[1]Реестр!A:K,2,0),"")</f>
        <v/>
      </c>
      <c r="H97" s="243" t="s">
        <v>118</v>
      </c>
      <c r="I97" s="451"/>
      <c r="K97" s="208"/>
    </row>
    <row r="98" spans="1:12" ht="18.75" x14ac:dyDescent="0.25">
      <c r="A98" s="241">
        <v>1.32</v>
      </c>
      <c r="B98" s="241">
        <v>0.24</v>
      </c>
      <c r="C98" s="241">
        <v>8.34</v>
      </c>
      <c r="D98" s="241">
        <v>38.676000000000002</v>
      </c>
      <c r="E98" s="381" t="str">
        <f>"-"</f>
        <v>-</v>
      </c>
      <c r="F98" s="381" t="s">
        <v>707</v>
      </c>
      <c r="G98" s="211" t="str">
        <f>IFERROR(VLOOKUP(F98,[1]Реестр!A:K,2,0),"")</f>
        <v/>
      </c>
      <c r="H98" s="264" t="str">
        <f>"20"</f>
        <v>20</v>
      </c>
      <c r="I98" s="451"/>
      <c r="K98" s="208"/>
    </row>
    <row r="99" spans="1:12" ht="18.75" x14ac:dyDescent="0.25">
      <c r="A99" s="241">
        <v>1.32</v>
      </c>
      <c r="B99" s="241">
        <v>0.24</v>
      </c>
      <c r="C99" s="241">
        <v>0</v>
      </c>
      <c r="D99" s="241">
        <v>38.676000000000002</v>
      </c>
      <c r="E99" s="381" t="s">
        <v>471</v>
      </c>
      <c r="F99" s="381" t="s">
        <v>708</v>
      </c>
      <c r="G99" s="211" t="str">
        <f>IFERROR(VLOOKUP(F99,[1]Реестр!A:K,2,0),"")</f>
        <v/>
      </c>
      <c r="H99" s="264" t="s">
        <v>735</v>
      </c>
      <c r="I99" s="452"/>
      <c r="K99" s="208"/>
    </row>
    <row r="100" spans="1:12" ht="18.75" x14ac:dyDescent="0.3">
      <c r="A100" s="464" t="s">
        <v>16</v>
      </c>
      <c r="B100" s="464"/>
      <c r="C100" s="464"/>
      <c r="D100" s="464"/>
      <c r="E100" s="464"/>
      <c r="F100" s="464"/>
      <c r="G100" s="205"/>
      <c r="H100" s="206"/>
      <c r="I100" s="207">
        <f>SUM(I95:I99)</f>
        <v>149.52000000000001</v>
      </c>
      <c r="K100" s="208"/>
    </row>
    <row r="101" spans="1:12" ht="18.75" x14ac:dyDescent="0.3">
      <c r="A101" s="462" t="s">
        <v>545</v>
      </c>
      <c r="B101" s="462"/>
      <c r="C101" s="462"/>
      <c r="D101" s="462"/>
      <c r="E101" s="462"/>
      <c r="F101" s="462"/>
      <c r="G101" s="462"/>
      <c r="H101" s="462"/>
      <c r="I101" s="462"/>
      <c r="J101" s="215">
        <v>85.2</v>
      </c>
      <c r="K101" s="208"/>
      <c r="L101" s="208">
        <f>J101-I101</f>
        <v>85.2</v>
      </c>
    </row>
    <row r="102" spans="1:12" ht="30" x14ac:dyDescent="0.25">
      <c r="A102" s="243">
        <v>17.96</v>
      </c>
      <c r="B102" s="243">
        <v>19.649999999999999</v>
      </c>
      <c r="C102" s="243">
        <v>1.04</v>
      </c>
      <c r="D102" s="243">
        <v>252.59813800000001</v>
      </c>
      <c r="E102" s="242" t="s">
        <v>740</v>
      </c>
      <c r="F102" s="242" t="s">
        <v>741</v>
      </c>
      <c r="G102" s="211" t="str">
        <f>IFERROR(VLOOKUP(F102,[1]Реестр!A:K,2,0),"")</f>
        <v>200</v>
      </c>
      <c r="H102" s="391">
        <v>150</v>
      </c>
      <c r="I102" s="450">
        <v>149.52000000000001</v>
      </c>
      <c r="K102" s="208"/>
    </row>
    <row r="103" spans="1:12" ht="18.75" customHeight="1" x14ac:dyDescent="0.25">
      <c r="A103" s="243">
        <v>0.18</v>
      </c>
      <c r="B103" s="243">
        <v>0.04</v>
      </c>
      <c r="C103" s="243">
        <v>13.75</v>
      </c>
      <c r="D103" s="243">
        <v>53.136642799999997</v>
      </c>
      <c r="E103" s="242" t="s">
        <v>742</v>
      </c>
      <c r="F103" s="242" t="s">
        <v>499</v>
      </c>
      <c r="G103" s="211" t="str">
        <f>IFERROR(VLOOKUP(F103,[1]Реестр!A:K,2,0),"")</f>
        <v>200</v>
      </c>
      <c r="H103" s="243" t="s">
        <v>118</v>
      </c>
      <c r="I103" s="451"/>
      <c r="K103" s="208"/>
    </row>
    <row r="104" spans="1:12" ht="18.75" x14ac:dyDescent="0.25">
      <c r="A104" s="241">
        <v>0.52</v>
      </c>
      <c r="B104" s="241">
        <v>0.52</v>
      </c>
      <c r="C104" s="241">
        <v>15.08</v>
      </c>
      <c r="D104" s="241">
        <v>63.283999999999985</v>
      </c>
      <c r="E104" s="242" t="s">
        <v>471</v>
      </c>
      <c r="F104" s="242" t="s">
        <v>708</v>
      </c>
      <c r="G104" s="211" t="str">
        <f>IFERROR(VLOOKUP(F104,[1]Реестр!A:K,2,0),"")</f>
        <v/>
      </c>
      <c r="H104" s="264" t="s">
        <v>735</v>
      </c>
      <c r="I104" s="451"/>
      <c r="K104" s="208"/>
    </row>
    <row r="105" spans="1:12" ht="18.75" x14ac:dyDescent="0.25">
      <c r="A105" s="241">
        <v>2.64</v>
      </c>
      <c r="B105" s="241">
        <v>0.48</v>
      </c>
      <c r="C105" s="241">
        <v>16.68</v>
      </c>
      <c r="D105" s="241">
        <v>77.352000000000004</v>
      </c>
      <c r="E105" s="242" t="s">
        <v>471</v>
      </c>
      <c r="F105" s="242" t="s">
        <v>715</v>
      </c>
      <c r="G105" s="211" t="str">
        <f>IFERROR(VLOOKUP(F105,[1]Реестр!A:K,2,0),"")</f>
        <v/>
      </c>
      <c r="H105" s="392">
        <v>40</v>
      </c>
      <c r="I105" s="451"/>
      <c r="K105" s="208"/>
    </row>
    <row r="106" spans="1:12" ht="18.75" x14ac:dyDescent="0.25">
      <c r="A106" s="241">
        <v>1.32</v>
      </c>
      <c r="B106" s="241">
        <v>0.24</v>
      </c>
      <c r="C106" s="241">
        <v>8.34</v>
      </c>
      <c r="D106" s="241">
        <v>38.676000000000002</v>
      </c>
      <c r="E106" s="381" t="str">
        <f>"-"</f>
        <v>-</v>
      </c>
      <c r="F106" s="381" t="s">
        <v>707</v>
      </c>
      <c r="G106" s="211" t="str">
        <f>IFERROR(VLOOKUP(F106,[1]Реестр!A:K,2,0),"")</f>
        <v/>
      </c>
      <c r="H106" s="264" t="str">
        <f>"20"</f>
        <v>20</v>
      </c>
      <c r="I106" s="451"/>
      <c r="K106" s="208"/>
    </row>
    <row r="107" spans="1:12" ht="18.75" x14ac:dyDescent="0.3">
      <c r="A107" s="209"/>
      <c r="B107" s="209"/>
      <c r="C107" s="209"/>
      <c r="D107" s="209"/>
      <c r="E107" s="210"/>
      <c r="F107" s="217"/>
      <c r="G107" s="211"/>
      <c r="H107" s="206"/>
      <c r="I107" s="452"/>
      <c r="K107" s="208"/>
    </row>
    <row r="108" spans="1:12" ht="18.75" x14ac:dyDescent="0.3">
      <c r="A108" s="464" t="s">
        <v>16</v>
      </c>
      <c r="B108" s="464"/>
      <c r="C108" s="464"/>
      <c r="D108" s="464"/>
      <c r="E108" s="464"/>
      <c r="F108" s="464"/>
      <c r="G108" s="205"/>
      <c r="H108" s="206"/>
      <c r="I108" s="207">
        <f>SUM(I102)</f>
        <v>149.52000000000001</v>
      </c>
      <c r="K108" s="208"/>
    </row>
    <row r="109" spans="1:12" ht="18.75" x14ac:dyDescent="0.3">
      <c r="A109" s="462" t="s">
        <v>566</v>
      </c>
      <c r="B109" s="462"/>
      <c r="C109" s="462"/>
      <c r="D109" s="462"/>
      <c r="E109" s="462"/>
      <c r="F109" s="462"/>
      <c r="G109" s="462"/>
      <c r="H109" s="462"/>
      <c r="I109" s="462"/>
      <c r="K109" s="208"/>
    </row>
    <row r="110" spans="1:12" ht="30" x14ac:dyDescent="0.25">
      <c r="A110" s="417">
        <v>0.7</v>
      </c>
      <c r="B110" s="243">
        <v>4.8099999999999996</v>
      </c>
      <c r="C110" s="243">
        <v>1.6</v>
      </c>
      <c r="D110" s="243">
        <v>57.718236800000007</v>
      </c>
      <c r="E110" s="242" t="str">
        <f>"7/13/1"</f>
        <v>7/13/1</v>
      </c>
      <c r="F110" s="242" t="s">
        <v>736</v>
      </c>
      <c r="G110" s="211" t="str">
        <f>IFERROR(VLOOKUP(F110,[2]Реестр!A:K,2,0),"")</f>
        <v/>
      </c>
      <c r="H110" s="263" t="s">
        <v>81</v>
      </c>
      <c r="I110" s="450">
        <v>224.27</v>
      </c>
      <c r="K110" s="208"/>
    </row>
    <row r="111" spans="1:12" ht="18.75" x14ac:dyDescent="0.25">
      <c r="A111" s="263">
        <v>4.1100000000000003</v>
      </c>
      <c r="B111" s="263">
        <v>4.7699999999999996</v>
      </c>
      <c r="C111" s="263">
        <v>39.56</v>
      </c>
      <c r="D111" s="263">
        <v>235.36</v>
      </c>
      <c r="E111" s="242" t="s">
        <v>711</v>
      </c>
      <c r="F111" s="242" t="s">
        <v>737</v>
      </c>
      <c r="G111" s="211" t="str">
        <f>IFERROR(VLOOKUP(F111,[2]Реестр!A:K,2,0),"")</f>
        <v/>
      </c>
      <c r="H111" s="243" t="str">
        <f>"250"</f>
        <v>250</v>
      </c>
      <c r="I111" s="451"/>
      <c r="K111" s="208"/>
    </row>
    <row r="112" spans="1:12" ht="18.75" x14ac:dyDescent="0.25">
      <c r="A112" s="263">
        <v>15.55</v>
      </c>
      <c r="B112" s="263">
        <v>15.9</v>
      </c>
      <c r="C112" s="263">
        <v>90.5</v>
      </c>
      <c r="D112" s="263">
        <v>408.6</v>
      </c>
      <c r="E112" s="242" t="s">
        <v>712</v>
      </c>
      <c r="F112" s="242" t="s">
        <v>713</v>
      </c>
      <c r="G112" s="211"/>
      <c r="H112" s="266">
        <v>200</v>
      </c>
      <c r="I112" s="451"/>
      <c r="K112" s="208"/>
    </row>
    <row r="113" spans="1:11" ht="18.75" x14ac:dyDescent="0.25">
      <c r="A113" s="263">
        <v>0.18</v>
      </c>
      <c r="B113" s="263">
        <v>0.05</v>
      </c>
      <c r="C113" s="263">
        <v>9.6300000000000008</v>
      </c>
      <c r="D113" s="263">
        <v>37.582527999999996</v>
      </c>
      <c r="E113" s="242" t="s">
        <v>738</v>
      </c>
      <c r="F113" s="242" t="s">
        <v>739</v>
      </c>
      <c r="G113" s="211"/>
      <c r="H113" s="263" t="s">
        <v>118</v>
      </c>
      <c r="I113" s="451"/>
      <c r="K113" s="208"/>
    </row>
    <row r="114" spans="1:11" ht="18.75" customHeight="1" x14ac:dyDescent="0.25">
      <c r="A114" s="241">
        <v>3.3</v>
      </c>
      <c r="B114" s="241">
        <v>0.6</v>
      </c>
      <c r="C114" s="241">
        <v>20.85</v>
      </c>
      <c r="D114" s="241">
        <v>96.69</v>
      </c>
      <c r="E114" s="242" t="str">
        <f>"-"</f>
        <v>-</v>
      </c>
      <c r="F114" s="242" t="s">
        <v>715</v>
      </c>
      <c r="G114" s="211"/>
      <c r="H114" s="264" t="str">
        <f>"40"</f>
        <v>40</v>
      </c>
      <c r="I114" s="451"/>
      <c r="K114" s="208"/>
    </row>
    <row r="115" spans="1:11" ht="18.75" x14ac:dyDescent="0.25">
      <c r="A115" s="264">
        <v>2.64</v>
      </c>
      <c r="B115" s="264">
        <v>0.48</v>
      </c>
      <c r="C115" s="264">
        <v>16.68</v>
      </c>
      <c r="D115" s="264">
        <v>77.352000000000004</v>
      </c>
      <c r="E115" s="381" t="str">
        <f>"-"</f>
        <v>-</v>
      </c>
      <c r="F115" s="381" t="s">
        <v>707</v>
      </c>
      <c r="G115" s="211" t="str">
        <f>IFERROR(VLOOKUP(F115,[2]Реестр!A:K,2,0),"")</f>
        <v/>
      </c>
      <c r="H115" s="264" t="str">
        <f>"40"</f>
        <v>40</v>
      </c>
      <c r="I115" s="451"/>
      <c r="K115" s="208"/>
    </row>
    <row r="116" spans="1:11" ht="18.75" x14ac:dyDescent="0.25">
      <c r="A116" s="241"/>
      <c r="B116" s="241"/>
      <c r="C116" s="241"/>
      <c r="D116" s="241"/>
      <c r="E116" s="265"/>
      <c r="F116" s="217"/>
      <c r="G116" s="211"/>
      <c r="H116" s="269"/>
      <c r="I116" s="451"/>
      <c r="K116" s="208"/>
    </row>
    <row r="117" spans="1:11" ht="18.75" x14ac:dyDescent="0.3">
      <c r="A117" s="464" t="s">
        <v>16</v>
      </c>
      <c r="B117" s="464"/>
      <c r="C117" s="464"/>
      <c r="D117" s="464"/>
      <c r="E117" s="464"/>
      <c r="F117" s="464"/>
      <c r="G117" s="205"/>
      <c r="H117" s="206"/>
      <c r="I117" s="207">
        <f>SUM(I110:I116)</f>
        <v>224.27</v>
      </c>
      <c r="K117" s="208"/>
    </row>
    <row r="118" spans="1:11" ht="18.75" x14ac:dyDescent="0.3">
      <c r="A118" s="462" t="s">
        <v>550</v>
      </c>
      <c r="B118" s="462"/>
      <c r="C118" s="462"/>
      <c r="D118" s="462"/>
      <c r="E118" s="462"/>
      <c r="F118" s="462"/>
      <c r="G118" s="462"/>
      <c r="H118" s="462"/>
      <c r="I118" s="462"/>
      <c r="K118" s="208"/>
    </row>
    <row r="119" spans="1:11" ht="30" x14ac:dyDescent="0.25">
      <c r="A119" s="417">
        <v>1.33</v>
      </c>
      <c r="B119" s="243">
        <v>5.12</v>
      </c>
      <c r="C119" s="243">
        <v>7.75</v>
      </c>
      <c r="D119" s="243">
        <v>73.52</v>
      </c>
      <c r="E119" s="242" t="s">
        <v>709</v>
      </c>
      <c r="F119" s="242" t="s">
        <v>710</v>
      </c>
      <c r="G119" s="211" t="str">
        <f>IFERROR(VLOOKUP(F119,[2]Реестр!A:K,2,0),"")</f>
        <v/>
      </c>
      <c r="H119" s="210">
        <v>80</v>
      </c>
      <c r="I119" s="450">
        <v>224.27</v>
      </c>
      <c r="K119" s="208"/>
    </row>
    <row r="120" spans="1:11" ht="18.75" x14ac:dyDescent="0.3">
      <c r="A120" s="263">
        <v>4.1100000000000003</v>
      </c>
      <c r="B120" s="263">
        <v>4.7699999999999996</v>
      </c>
      <c r="C120" s="263">
        <v>59.23</v>
      </c>
      <c r="D120" s="263">
        <v>143.13</v>
      </c>
      <c r="E120" s="242" t="str">
        <f>"6/65-1"</f>
        <v>6/65-1</v>
      </c>
      <c r="F120" s="242" t="s">
        <v>731</v>
      </c>
      <c r="G120" s="211" t="str">
        <f>IFERROR(VLOOKUP(F120,[2]Реестр!A:K,2,0),"")</f>
        <v/>
      </c>
      <c r="H120" s="206">
        <v>250</v>
      </c>
      <c r="I120" s="451"/>
      <c r="K120" s="208"/>
    </row>
    <row r="121" spans="1:11" ht="18.75" x14ac:dyDescent="0.3">
      <c r="A121" s="263">
        <v>15.55</v>
      </c>
      <c r="B121" s="263">
        <v>15.9</v>
      </c>
      <c r="C121" s="263">
        <v>90.5</v>
      </c>
      <c r="D121" s="263">
        <v>408.6</v>
      </c>
      <c r="E121" s="242" t="s">
        <v>712</v>
      </c>
      <c r="F121" s="242" t="s">
        <v>713</v>
      </c>
      <c r="G121" s="391">
        <v>200</v>
      </c>
      <c r="H121" s="206">
        <v>200</v>
      </c>
      <c r="I121" s="451"/>
      <c r="K121" s="208"/>
    </row>
    <row r="122" spans="1:11" ht="18.75" x14ac:dyDescent="0.3">
      <c r="A122" s="263">
        <v>0.18</v>
      </c>
      <c r="B122" s="263">
        <v>0.05</v>
      </c>
      <c r="C122" s="263">
        <v>0.32</v>
      </c>
      <c r="D122" s="263">
        <v>37.582527999999996</v>
      </c>
      <c r="E122" s="242" t="s">
        <v>714</v>
      </c>
      <c r="F122" s="242" t="s">
        <v>328</v>
      </c>
      <c r="G122" s="263" t="s">
        <v>118</v>
      </c>
      <c r="H122" s="206">
        <v>200</v>
      </c>
      <c r="I122" s="451"/>
      <c r="K122" s="208"/>
    </row>
    <row r="123" spans="1:11" ht="18.75" x14ac:dyDescent="0.3">
      <c r="A123" s="264">
        <v>2.64</v>
      </c>
      <c r="B123" s="264">
        <v>0.48</v>
      </c>
      <c r="C123" s="264">
        <v>16.68</v>
      </c>
      <c r="D123" s="264">
        <v>77.352000000000004</v>
      </c>
      <c r="E123" s="242" t="str">
        <f>"-"</f>
        <v>-</v>
      </c>
      <c r="F123" s="242" t="s">
        <v>715</v>
      </c>
      <c r="G123" s="392">
        <v>50</v>
      </c>
      <c r="H123" s="206">
        <v>40</v>
      </c>
      <c r="I123" s="451"/>
      <c r="K123" s="208"/>
    </row>
    <row r="124" spans="1:11" ht="18.75" x14ac:dyDescent="0.3">
      <c r="A124" s="264">
        <v>2.64</v>
      </c>
      <c r="B124" s="264">
        <v>0.48</v>
      </c>
      <c r="C124" s="264">
        <v>16.68</v>
      </c>
      <c r="D124" s="264">
        <v>77.352000000000004</v>
      </c>
      <c r="E124" s="381" t="str">
        <f>"-"</f>
        <v>-</v>
      </c>
      <c r="F124" s="381" t="s">
        <v>707</v>
      </c>
      <c r="G124" s="392">
        <v>30</v>
      </c>
      <c r="H124" s="206">
        <v>40</v>
      </c>
      <c r="I124" s="451"/>
      <c r="K124" s="208"/>
    </row>
    <row r="125" spans="1:11" ht="18.75" x14ac:dyDescent="0.25">
      <c r="A125" s="246"/>
      <c r="B125" s="246"/>
      <c r="C125" s="246"/>
      <c r="D125" s="246"/>
      <c r="E125" s="247"/>
      <c r="F125" s="204"/>
      <c r="G125" s="199"/>
      <c r="H125" s="246"/>
      <c r="I125" s="451"/>
      <c r="K125" s="208"/>
    </row>
    <row r="126" spans="1:11" ht="18.75" x14ac:dyDescent="0.3">
      <c r="A126" s="464" t="s">
        <v>16</v>
      </c>
      <c r="B126" s="464"/>
      <c r="C126" s="464"/>
      <c r="D126" s="464"/>
      <c r="E126" s="464"/>
      <c r="F126" s="464"/>
      <c r="G126" s="205"/>
      <c r="H126" s="206"/>
      <c r="I126" s="207">
        <f>SUM(I119)</f>
        <v>224.27</v>
      </c>
      <c r="K126" s="208"/>
    </row>
    <row r="127" spans="1:11" ht="18.75" x14ac:dyDescent="0.3">
      <c r="A127" s="465" t="s">
        <v>602</v>
      </c>
      <c r="B127" s="466"/>
      <c r="C127" s="466"/>
      <c r="D127" s="466"/>
      <c r="E127" s="466"/>
      <c r="F127" s="466"/>
      <c r="G127" s="466"/>
      <c r="H127" s="466"/>
      <c r="I127" s="467"/>
      <c r="K127" s="208"/>
    </row>
    <row r="128" spans="1:11" ht="18.75" x14ac:dyDescent="0.3">
      <c r="A128" s="219">
        <v>7.7</v>
      </c>
      <c r="B128" s="219">
        <v>7.42</v>
      </c>
      <c r="C128" s="219">
        <v>32.090000000000003</v>
      </c>
      <c r="D128" s="219">
        <v>225.88</v>
      </c>
      <c r="E128" s="416" t="s">
        <v>408</v>
      </c>
      <c r="F128" s="406" t="s">
        <v>529</v>
      </c>
      <c r="G128" s="94">
        <f>IFERROR(VLOOKUP(F128,[2]Реестр!A:K,2,0),"")</f>
        <v>100</v>
      </c>
      <c r="H128" s="97">
        <v>100</v>
      </c>
      <c r="I128" s="447">
        <v>125</v>
      </c>
      <c r="K128" s="208"/>
    </row>
    <row r="129" spans="1:11" ht="18.75" x14ac:dyDescent="0.3">
      <c r="A129" s="263">
        <v>4.1100000000000003</v>
      </c>
      <c r="B129" s="263">
        <v>4.7699999999999996</v>
      </c>
      <c r="C129" s="263">
        <v>26.5</v>
      </c>
      <c r="D129" s="263">
        <v>213.5</v>
      </c>
      <c r="E129" s="242" t="s">
        <v>711</v>
      </c>
      <c r="F129" s="242" t="s">
        <v>716</v>
      </c>
      <c r="G129" s="94" t="str">
        <f>IFERROR(VLOOKUP(F129,[2]Реестр!A:K,2,0),"")</f>
        <v/>
      </c>
      <c r="H129" s="97">
        <v>250</v>
      </c>
      <c r="I129" s="448"/>
      <c r="K129" s="208"/>
    </row>
    <row r="130" spans="1:11" ht="18.75" x14ac:dyDescent="0.3">
      <c r="A130" s="263">
        <v>3.94</v>
      </c>
      <c r="B130" s="263">
        <v>5.1100000000000003</v>
      </c>
      <c r="C130" s="263">
        <v>27.5</v>
      </c>
      <c r="D130" s="263">
        <v>170.19544859999999</v>
      </c>
      <c r="E130" s="242" t="s">
        <v>714</v>
      </c>
      <c r="F130" s="386" t="s">
        <v>328</v>
      </c>
      <c r="G130" s="211">
        <f>IFERROR(VLOOKUP(F130,[2]Реестр!A:K,2,0),"")</f>
        <v>200</v>
      </c>
      <c r="H130" s="206">
        <v>200</v>
      </c>
      <c r="I130" s="448"/>
      <c r="K130" s="208"/>
    </row>
    <row r="131" spans="1:11" ht="18.75" x14ac:dyDescent="0.3">
      <c r="A131" s="104">
        <f>IFERROR(VLOOKUP(F131,[13]Реестр!A:K,3,0)*H131/G131,"")</f>
        <v>2.64</v>
      </c>
      <c r="B131" s="104">
        <f>IFERROR(VLOOKUP(F131,[13]Реестр!A:K,4,0)*H131/G131,"")</f>
        <v>0.24</v>
      </c>
      <c r="C131" s="104">
        <f>IFERROR(VLOOKUP(F131,[13]Реестр!A:K,5,0)*H131/G131,"")</f>
        <v>18.72</v>
      </c>
      <c r="D131" s="104">
        <f>IFERROR(VLOOKUP(F131,[13]Реестр!A:K,6,0)*H131/G131,"")</f>
        <v>89.6</v>
      </c>
      <c r="E131" s="422" t="str">
        <f>IFERROR(VLOOKUP(F131,[13]Реестр!A:K,11,0),"")</f>
        <v>-</v>
      </c>
      <c r="F131" s="423" t="s">
        <v>66</v>
      </c>
      <c r="G131" s="94" t="str">
        <f>IFERROR(VLOOKUP(F131,[2]Реестр!A:K,2,0),"")</f>
        <v>100</v>
      </c>
      <c r="H131" s="97">
        <v>40</v>
      </c>
      <c r="I131" s="448"/>
      <c r="K131" s="208"/>
    </row>
    <row r="132" spans="1:11" ht="18.75" x14ac:dyDescent="0.3">
      <c r="A132" s="104">
        <f>IFERROR(VLOOKUP(F132,[13]Реестр!A:K,3,0)*H132/G132,"")</f>
        <v>2.64</v>
      </c>
      <c r="B132" s="104">
        <f>IFERROR(VLOOKUP(F132,[13]Реестр!A:K,4,0)*H132/G132,"")</f>
        <v>0.48</v>
      </c>
      <c r="C132" s="104">
        <f>IFERROR(VLOOKUP(F132,[13]Реестр!A:K,5,0)*H132/G132,"")</f>
        <v>13.36</v>
      </c>
      <c r="D132" s="104">
        <f>IFERROR(VLOOKUP(F132,[13]Реестр!A:K,6,0)*H132/G132,"")</f>
        <v>77.2</v>
      </c>
      <c r="E132" s="422" t="str">
        <f>IFERROR(VLOOKUP(F132,[13]Реестр!A:K,11,0),"")</f>
        <v>-</v>
      </c>
      <c r="F132" s="423" t="s">
        <v>65</v>
      </c>
      <c r="G132" s="94" t="str">
        <f>IFERROR(VLOOKUP(F132,[2]Реестр!A:K,2,0),"")</f>
        <v>100</v>
      </c>
      <c r="H132" s="97">
        <v>40</v>
      </c>
      <c r="I132" s="449"/>
      <c r="K132" s="208"/>
    </row>
    <row r="133" spans="1:11" ht="18.75" x14ac:dyDescent="0.3">
      <c r="A133" s="453" t="s">
        <v>16</v>
      </c>
      <c r="B133" s="454"/>
      <c r="C133" s="454"/>
      <c r="D133" s="454"/>
      <c r="E133" s="454"/>
      <c r="F133" s="454"/>
      <c r="G133" s="454"/>
      <c r="H133" s="455"/>
      <c r="I133" s="207">
        <f>SUM(I128:I132)</f>
        <v>125</v>
      </c>
      <c r="K133" s="208"/>
    </row>
    <row r="134" spans="1:11" ht="18.75" x14ac:dyDescent="0.3">
      <c r="A134" s="481" t="s">
        <v>677</v>
      </c>
      <c r="B134" s="482"/>
      <c r="C134" s="482"/>
      <c r="D134" s="482"/>
      <c r="E134" s="482"/>
      <c r="F134" s="482"/>
      <c r="G134" s="482"/>
      <c r="H134" s="482"/>
      <c r="I134" s="483"/>
      <c r="K134" s="208"/>
    </row>
    <row r="135" spans="1:11" ht="30" x14ac:dyDescent="0.25">
      <c r="A135" s="383">
        <v>1.33</v>
      </c>
      <c r="B135" s="383">
        <v>5.12</v>
      </c>
      <c r="C135" s="383">
        <v>4.0999999999999996</v>
      </c>
      <c r="D135" s="383">
        <v>73.52</v>
      </c>
      <c r="E135" s="382" t="s">
        <v>709</v>
      </c>
      <c r="F135" s="242" t="s">
        <v>710</v>
      </c>
      <c r="G135" s="211" t="str">
        <f>IFERROR(VLOOKUP(F135,[2]Реестр!A:K,2,0),"")</f>
        <v/>
      </c>
      <c r="H135" s="210">
        <v>80</v>
      </c>
      <c r="I135" s="474">
        <v>220.51</v>
      </c>
      <c r="K135" s="208"/>
    </row>
    <row r="136" spans="1:11" ht="18.75" x14ac:dyDescent="0.3">
      <c r="A136" s="263">
        <v>4.1100000000000003</v>
      </c>
      <c r="B136" s="263">
        <v>4.7699999999999996</v>
      </c>
      <c r="C136" s="263">
        <v>19.5</v>
      </c>
      <c r="D136" s="263">
        <v>143.13</v>
      </c>
      <c r="E136" s="242" t="s">
        <v>711</v>
      </c>
      <c r="F136" s="242" t="s">
        <v>716</v>
      </c>
      <c r="G136" s="211" t="str">
        <f>IFERROR(VLOOKUP(F136,[2]Реестр!A:K,2,0),"")</f>
        <v/>
      </c>
      <c r="H136" s="206">
        <v>250</v>
      </c>
      <c r="I136" s="475"/>
      <c r="K136" s="208"/>
    </row>
    <row r="137" spans="1:11" ht="18.75" x14ac:dyDescent="0.3">
      <c r="A137" s="263">
        <v>15.55</v>
      </c>
      <c r="B137" s="263">
        <v>15.4</v>
      </c>
      <c r="C137" s="263">
        <v>57.1</v>
      </c>
      <c r="D137" s="263">
        <v>364.2</v>
      </c>
      <c r="E137" s="242" t="s">
        <v>712</v>
      </c>
      <c r="F137" s="242" t="s">
        <v>713</v>
      </c>
      <c r="G137" s="211" t="str">
        <f>IFERROR(VLOOKUP(F137,[2]Реестр!A:K,2,0),"")</f>
        <v/>
      </c>
      <c r="H137" s="206">
        <v>200</v>
      </c>
      <c r="I137" s="475"/>
      <c r="K137" s="208"/>
    </row>
    <row r="138" spans="1:11" ht="18.75" x14ac:dyDescent="0.3">
      <c r="A138" s="263">
        <v>0.18</v>
      </c>
      <c r="B138" s="263">
        <v>0.05</v>
      </c>
      <c r="C138" s="263">
        <v>0.32</v>
      </c>
      <c r="D138" s="263">
        <v>37.582527999999996</v>
      </c>
      <c r="E138" s="242" t="s">
        <v>714</v>
      </c>
      <c r="F138" s="242" t="s">
        <v>328</v>
      </c>
      <c r="G138" s="211">
        <f>IFERROR(VLOOKUP(F138,[2]Реестр!A:K,2,0),"")</f>
        <v>200</v>
      </c>
      <c r="H138" s="206">
        <v>200</v>
      </c>
      <c r="I138" s="475"/>
      <c r="K138" s="208"/>
    </row>
    <row r="139" spans="1:11" ht="18.75" x14ac:dyDescent="0.3">
      <c r="A139" s="264">
        <v>3.3</v>
      </c>
      <c r="B139" s="264">
        <v>0.3</v>
      </c>
      <c r="C139" s="264">
        <v>23.4</v>
      </c>
      <c r="D139" s="264">
        <v>112</v>
      </c>
      <c r="E139" s="242" t="s">
        <v>471</v>
      </c>
      <c r="F139" s="242" t="s">
        <v>715</v>
      </c>
      <c r="G139" s="211" t="str">
        <f>IFERROR(VLOOKUP(F139,[2]Реестр!A:K,2,0),"")</f>
        <v/>
      </c>
      <c r="H139" s="206">
        <v>50</v>
      </c>
      <c r="I139" s="475"/>
      <c r="K139" s="208"/>
    </row>
    <row r="140" spans="1:11" ht="18.75" x14ac:dyDescent="0.3">
      <c r="A140" s="241">
        <v>2</v>
      </c>
      <c r="B140" s="241">
        <v>0.4</v>
      </c>
      <c r="C140" s="241">
        <v>10</v>
      </c>
      <c r="D140" s="241">
        <v>58</v>
      </c>
      <c r="E140" s="381" t="s">
        <v>471</v>
      </c>
      <c r="F140" s="381" t="s">
        <v>707</v>
      </c>
      <c r="G140" s="211" t="str">
        <f>IFERROR(VLOOKUP(F140,[2]Реестр!A:K,2,0),"")</f>
        <v/>
      </c>
      <c r="H140" s="206">
        <v>30</v>
      </c>
      <c r="I140" s="475"/>
      <c r="K140" s="208"/>
    </row>
    <row r="141" spans="1:11" ht="18.75" x14ac:dyDescent="0.3">
      <c r="A141" s="219">
        <v>7.7</v>
      </c>
      <c r="B141" s="219">
        <v>7.42</v>
      </c>
      <c r="C141" s="219">
        <v>32.090000000000003</v>
      </c>
      <c r="D141" s="219">
        <v>225.88</v>
      </c>
      <c r="E141" s="416" t="s">
        <v>408</v>
      </c>
      <c r="F141" s="406" t="s">
        <v>529</v>
      </c>
      <c r="G141" s="94">
        <f>IFERROR(VLOOKUP(F141,[2]Реестр!A:K,2,0),"")</f>
        <v>100</v>
      </c>
      <c r="H141" s="97">
        <v>80</v>
      </c>
      <c r="I141" s="476"/>
    </row>
    <row r="142" spans="1:11" ht="18.75" x14ac:dyDescent="0.3">
      <c r="A142" s="464" t="s">
        <v>16</v>
      </c>
      <c r="B142" s="464"/>
      <c r="C142" s="464"/>
      <c r="D142" s="464"/>
      <c r="E142" s="464"/>
      <c r="F142" s="464"/>
      <c r="G142" s="205"/>
      <c r="H142" s="206"/>
      <c r="I142" s="207">
        <v>220.51</v>
      </c>
    </row>
    <row r="143" spans="1:11" ht="18.75" x14ac:dyDescent="0.3">
      <c r="A143" s="361"/>
      <c r="B143" s="361"/>
      <c r="C143" s="361"/>
      <c r="D143" s="361"/>
      <c r="E143" s="362"/>
      <c r="F143" s="363"/>
      <c r="G143" s="364"/>
      <c r="H143" s="255"/>
      <c r="I143" s="365"/>
    </row>
    <row r="144" spans="1:11" s="215" customFormat="1" ht="18.75" x14ac:dyDescent="0.3">
      <c r="B144" s="252"/>
      <c r="C144" s="253"/>
      <c r="D144" s="253"/>
      <c r="E144" s="253"/>
      <c r="F144" s="254" t="s">
        <v>37</v>
      </c>
      <c r="G144" s="270"/>
      <c r="H144" s="257"/>
      <c r="I144" s="260" t="s">
        <v>586</v>
      </c>
      <c r="K144" s="202"/>
    </row>
    <row r="145" spans="2:11" s="215" customFormat="1" ht="18.75" x14ac:dyDescent="0.3">
      <c r="B145" s="252"/>
      <c r="C145" s="253"/>
      <c r="D145" s="253"/>
      <c r="E145" s="253"/>
      <c r="F145" s="254"/>
      <c r="G145" s="270"/>
      <c r="H145" s="418"/>
      <c r="I145" s="260"/>
      <c r="K145" s="202"/>
    </row>
    <row r="146" spans="2:11" x14ac:dyDescent="0.25">
      <c r="H146" s="414" t="s">
        <v>699</v>
      </c>
    </row>
  </sheetData>
  <autoFilter ref="A4:I93" xr:uid="{00000000-0009-0000-0000-00000B000000}"/>
  <mergeCells count="56">
    <mergeCell ref="A1:B1"/>
    <mergeCell ref="H1:I1"/>
    <mergeCell ref="H2:I2"/>
    <mergeCell ref="A3:C3"/>
    <mergeCell ref="D3:E3"/>
    <mergeCell ref="H3:I3"/>
    <mergeCell ref="A40:I40"/>
    <mergeCell ref="I4:I5"/>
    <mergeCell ref="A22:I22"/>
    <mergeCell ref="A29:F29"/>
    <mergeCell ref="A30:I30"/>
    <mergeCell ref="A38:F38"/>
    <mergeCell ref="A39:I39"/>
    <mergeCell ref="J4:J5"/>
    <mergeCell ref="A6:I6"/>
    <mergeCell ref="A12:F12"/>
    <mergeCell ref="A13:I13"/>
    <mergeCell ref="A21:F21"/>
    <mergeCell ref="A4:C4"/>
    <mergeCell ref="D4:D5"/>
    <mergeCell ref="E4:E5"/>
    <mergeCell ref="F4:F5"/>
    <mergeCell ref="G4:G5"/>
    <mergeCell ref="H4:H5"/>
    <mergeCell ref="A109:I10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A100:F100"/>
    <mergeCell ref="A101:I101"/>
    <mergeCell ref="I102:I107"/>
    <mergeCell ref="A108:F108"/>
    <mergeCell ref="A85:I85"/>
    <mergeCell ref="A93:F93"/>
    <mergeCell ref="A94:I94"/>
    <mergeCell ref="I95:I99"/>
    <mergeCell ref="A142:F142"/>
    <mergeCell ref="A117:F117"/>
    <mergeCell ref="A118:I118"/>
    <mergeCell ref="I119:I125"/>
    <mergeCell ref="I110:I116"/>
    <mergeCell ref="A134:I134"/>
    <mergeCell ref="A126:F126"/>
    <mergeCell ref="A127:I127"/>
    <mergeCell ref="A133:H133"/>
    <mergeCell ref="I135:I141"/>
    <mergeCell ref="I128:I132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2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B00-000000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F116</xm:sqref>
        </x14:dataValidation>
        <x14:dataValidation type="list" allowBlank="1" showInputMessage="1" showErrorMessage="1" xr:uid="{00000000-0002-0000-0B00-000001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F44 F105:F106 F91 F68 F76:F77 F10 F27:F28 F36 F124 F132 F19 F60:F61 F52 F98:F99 F140</xm:sqref>
        </x14:dataValidation>
        <x14:dataValidation type="list" allowBlank="1" showInputMessage="1" showErrorMessage="1" xr:uid="{00000000-0002-0000-0B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F44 F105:F106 F91 F52 F76:F77 F132 F10 F27:F28 F36 F19 F68 F60:F61 F98:F99 F124 F140</xm:sqref>
        </x14:dataValidation>
        <x14:dataValidation type="list" allowBlank="1" showInputMessage="1" showErrorMessage="1" xr:uid="{00000000-0002-0000-0B00-000003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F128 F80 F23 F72 F143 F141</xm:sqref>
        </x14:dataValidation>
        <x14:dataValidation type="list" allowBlank="1" showInputMessage="1" showErrorMessage="1" xr:uid="{00000000-0002-0000-0B00-000004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F131 F7 F25:F26 F34:F35 F18 F66:F67 F74:F75 F107 F122:F123 F113 F41 F57:F59 F89:F90 F51 F95:F97 F102:F104 F111 F139</xm:sqref>
        </x14:dataValidation>
        <x14:dataValidation type="list" allowBlank="1" showInputMessage="1" showErrorMessage="1" xr:uid="{00000000-0002-0000-0B00-000006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F20 F125 F53 F37 F92 F69 F115</xm:sqref>
        </x14:dataValidation>
        <x14:dataValidation type="list" allowBlank="1" showInputMessage="1" showErrorMessage="1" xr:uid="{00000000-0002-0000-0B00-000007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F119:F121 F110 F24 F129 F31:F33 F15 F48 F73 F63:F65 F86:F88 F83 F112 F136</xm:sqref>
        </x14:dataValidation>
        <x14:dataValidation type="list" allowBlank="1" showInputMessage="1" showErrorMessage="1" xr:uid="{B8A5884E-B04F-4186-8F7C-9D6F103472F2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F114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28">
    <pageSetUpPr fitToPage="1"/>
  </sheetPr>
  <dimension ref="A1:L128"/>
  <sheetViews>
    <sheetView view="pageBreakPreview" topLeftCell="A52" zoomScaleNormal="100" zoomScaleSheetLayoutView="100" workbookViewId="0">
      <selection activeCell="F3" sqref="F3"/>
    </sheetView>
  </sheetViews>
  <sheetFormatPr defaultRowHeight="15.75" x14ac:dyDescent="0.25"/>
  <cols>
    <col min="1" max="1" width="11.28515625" style="215" customWidth="1"/>
    <col min="2" max="2" width="11.28515625" style="252" customWidth="1"/>
    <col min="3" max="3" width="10.5703125" style="253" customWidth="1"/>
    <col min="4" max="4" width="10.28515625" style="253" customWidth="1"/>
    <col min="5" max="5" width="14" style="253" customWidth="1"/>
    <col min="6" max="6" width="57.85546875" style="253" customWidth="1"/>
    <col min="7" max="7" width="17.85546875" style="253" hidden="1" customWidth="1"/>
    <col min="8" max="9" width="15.5703125" style="253" customWidth="1"/>
    <col min="10" max="10" width="25.5703125" style="215" customWidth="1"/>
    <col min="11" max="1025" width="8.7109375" style="202" customWidth="1"/>
    <col min="1026" max="16384" width="9.140625" style="202"/>
  </cols>
  <sheetData>
    <row r="1" spans="1:12" s="234" customFormat="1" ht="29.25" customHeight="1" x14ac:dyDescent="0.25">
      <c r="A1" s="468"/>
      <c r="B1" s="468"/>
      <c r="C1" s="235"/>
      <c r="D1" s="235"/>
      <c r="E1" s="235"/>
      <c r="F1" s="231" t="s">
        <v>618</v>
      </c>
      <c r="G1" s="231"/>
      <c r="H1" s="439" t="s">
        <v>0</v>
      </c>
      <c r="I1" s="439"/>
    </row>
    <row r="2" spans="1:12" s="234" customFormat="1" ht="29.25" customHeight="1" x14ac:dyDescent="0.25">
      <c r="A2" s="235"/>
      <c r="B2" s="235"/>
      <c r="C2" s="259"/>
      <c r="D2" s="259"/>
      <c r="E2" s="259"/>
      <c r="F2" s="231" t="s">
        <v>587</v>
      </c>
      <c r="G2" s="231"/>
      <c r="H2" s="489" t="s">
        <v>611</v>
      </c>
      <c r="I2" s="489"/>
      <c r="J2" s="235"/>
    </row>
    <row r="3" spans="1:12" s="234" customFormat="1" ht="29.25" customHeight="1" x14ac:dyDescent="0.25">
      <c r="A3" s="437"/>
      <c r="B3" s="437"/>
      <c r="C3" s="437"/>
      <c r="D3" s="438"/>
      <c r="E3" s="438"/>
      <c r="F3" s="231" t="s">
        <v>660</v>
      </c>
      <c r="G3" s="231"/>
      <c r="H3" s="470" t="s">
        <v>588</v>
      </c>
      <c r="I3" s="470"/>
    </row>
    <row r="4" spans="1:12" ht="15" customHeight="1" x14ac:dyDescent="0.25">
      <c r="A4" s="472" t="s">
        <v>4</v>
      </c>
      <c r="B4" s="472"/>
      <c r="C4" s="472"/>
      <c r="D4" s="471" t="s">
        <v>5</v>
      </c>
      <c r="E4" s="471" t="s">
        <v>6</v>
      </c>
      <c r="F4" s="471" t="s">
        <v>7</v>
      </c>
      <c r="G4" s="473" t="s">
        <v>8</v>
      </c>
      <c r="H4" s="471" t="s">
        <v>9</v>
      </c>
      <c r="I4" s="471" t="s">
        <v>10</v>
      </c>
      <c r="J4" s="471" t="s">
        <v>11</v>
      </c>
    </row>
    <row r="5" spans="1:12" x14ac:dyDescent="0.25">
      <c r="A5" s="232" t="s">
        <v>12</v>
      </c>
      <c r="B5" s="232" t="s">
        <v>13</v>
      </c>
      <c r="C5" s="232" t="s">
        <v>14</v>
      </c>
      <c r="D5" s="471"/>
      <c r="E5" s="471"/>
      <c r="F5" s="471"/>
      <c r="G5" s="473"/>
      <c r="H5" s="471"/>
      <c r="I5" s="471"/>
      <c r="J5" s="471"/>
    </row>
    <row r="6" spans="1:12" ht="18" customHeight="1" x14ac:dyDescent="0.3">
      <c r="A6" s="462" t="s">
        <v>15</v>
      </c>
      <c r="B6" s="462"/>
      <c r="C6" s="462"/>
      <c r="D6" s="462"/>
      <c r="E6" s="462"/>
      <c r="F6" s="462"/>
      <c r="G6" s="462"/>
      <c r="H6" s="462"/>
      <c r="I6" s="462"/>
      <c r="J6" s="212"/>
    </row>
    <row r="7" spans="1:12" ht="18" customHeight="1" x14ac:dyDescent="0.3">
      <c r="A7" s="209">
        <f>IFERROR(VLOOKUP(F7,[1]Реестр!A:K,3,0)*H7/G7,"")</f>
        <v>3.8</v>
      </c>
      <c r="B7" s="209">
        <f>IFERROR(VLOOKUP(F7,[1]Реестр!A:K,4,0)*H7/G7,"")</f>
        <v>6.6</v>
      </c>
      <c r="C7" s="209">
        <f>IFERROR(VLOOKUP(F7,[1]Реестр!A:K,5,0)*H7/G7,"")</f>
        <v>9.6999999999999993</v>
      </c>
      <c r="D7" s="209">
        <f>IFERROR(VLOOKUP(F7,[1]Реестр!A:K,6,0)*H7/G7,"")</f>
        <v>116</v>
      </c>
      <c r="E7" s="210" t="str">
        <f>IFERROR(VLOOKUP(F7,[1]Реестр!A:K,11,0),"")</f>
        <v>1*58</v>
      </c>
      <c r="F7" s="233" t="s">
        <v>527</v>
      </c>
      <c r="G7" s="211" t="str">
        <f>IFERROR(VLOOKUP(F7,[1]Реестр!A:K,2,0),"")</f>
        <v>35</v>
      </c>
      <c r="H7" s="210">
        <v>35</v>
      </c>
      <c r="I7" s="207">
        <v>26.85</v>
      </c>
      <c r="J7" s="201" t="str">
        <f>IFERROR(VLOOKUP(O7,Реестр!#REF!,3,0)*Q7/P7,"")</f>
        <v/>
      </c>
    </row>
    <row r="8" spans="1:12" ht="18" customHeight="1" x14ac:dyDescent="0.3">
      <c r="A8" s="209">
        <v>9.75</v>
      </c>
      <c r="B8" s="209">
        <v>12.14</v>
      </c>
      <c r="C8" s="209">
        <v>36.06</v>
      </c>
      <c r="D8" s="209">
        <v>291.64</v>
      </c>
      <c r="E8" s="210" t="s">
        <v>133</v>
      </c>
      <c r="F8" s="223" t="s">
        <v>614</v>
      </c>
      <c r="G8" s="211" t="str">
        <f>IFERROR(VLOOKUP(F8,[1]Реестр!A:K,2,0),"")</f>
        <v/>
      </c>
      <c r="H8" s="210">
        <v>230</v>
      </c>
      <c r="I8" s="207">
        <v>38.270000000000003</v>
      </c>
      <c r="J8" s="201" t="str">
        <f>IFERROR(VLOOKUP(O8,Реестр!#REF!,3,0)*Q8/P8,"")</f>
        <v/>
      </c>
    </row>
    <row r="9" spans="1:12" ht="18" customHeight="1" x14ac:dyDescent="0.3">
      <c r="A9" s="209">
        <f>IFERROR(VLOOKUP(F9,[1]Реестр!A:K,3,0)*H9/G9,"")</f>
        <v>0.15</v>
      </c>
      <c r="B9" s="209">
        <f>IFERROR(VLOOKUP(F9,[1]Реестр!A:K,4,0)*H9/G9,"")</f>
        <v>0.09</v>
      </c>
      <c r="C9" s="209">
        <f>IFERROR(VLOOKUP(F9,[1]Реестр!A:K,5,0)*H9/G9,"")</f>
        <v>8.58</v>
      </c>
      <c r="D9" s="209">
        <f>IFERROR(VLOOKUP(F9,[1]Реестр!A:K,6,0)*H9/G9,"")</f>
        <v>34.799999999999997</v>
      </c>
      <c r="E9" s="210" t="str">
        <f>IFERROR(VLOOKUP(F9,[1]Реестр!A:K,11,0),"")</f>
        <v>12*2</v>
      </c>
      <c r="F9" s="216" t="s">
        <v>371</v>
      </c>
      <c r="G9" s="211" t="str">
        <f>IFERROR(VLOOKUP(F9,[1]Реестр!A:K,2,0),"")</f>
        <v>100</v>
      </c>
      <c r="H9" s="210">
        <v>30</v>
      </c>
      <c r="I9" s="207">
        <v>17.559999999999999</v>
      </c>
      <c r="J9" s="201" t="str">
        <f>IFERROR(VLOOKUP(O9,Реестр!#REF!,3,0)*Q9/P9,"")</f>
        <v/>
      </c>
    </row>
    <row r="10" spans="1:12" ht="18" customHeight="1" x14ac:dyDescent="0.3">
      <c r="A10" s="209">
        <f>IFERROR(VLOOKUP(F10,[1]Реестр!A:K,3,0)*H10/G10,"")</f>
        <v>3.6</v>
      </c>
      <c r="B10" s="209">
        <f>IFERROR(VLOOKUP(F10,[1]Реестр!A:K,4,0)*H10/G10,"")</f>
        <v>2.7</v>
      </c>
      <c r="C10" s="209">
        <f>IFERROR(VLOOKUP(F10,[1]Реестр!A:K,5,0)*H10/G10,"")</f>
        <v>22.9</v>
      </c>
      <c r="D10" s="209">
        <f>IFERROR(VLOOKUP(F10,[1]Реестр!A:K,6,0)*H10/G10,"")</f>
        <v>127</v>
      </c>
      <c r="E10" s="210" t="str">
        <f>IFERROR(VLOOKUP(F10,[1]Реестр!A:K,11,0),"")</f>
        <v>11*51</v>
      </c>
      <c r="F10" s="216" t="s">
        <v>342</v>
      </c>
      <c r="G10" s="211">
        <f>IFERROR(VLOOKUP(F10,[1]Реестр!A:K,2,0),"")</f>
        <v>200</v>
      </c>
      <c r="H10" s="206">
        <v>200</v>
      </c>
      <c r="I10" s="207">
        <v>24.16</v>
      </c>
      <c r="J10" s="201" t="str">
        <f>IFERROR(VLOOKUP(O10,Реестр!#REF!,3,0)*Q10/P10,"")</f>
        <v/>
      </c>
    </row>
    <row r="11" spans="1:12" ht="18.75" x14ac:dyDescent="0.3">
      <c r="A11" s="209">
        <f>IFERROR(VLOOKUP(F11,[1]Реестр!A:K,3,0)*H11/G11,"")</f>
        <v>1.32</v>
      </c>
      <c r="B11" s="209">
        <f>IFERROR(VLOOKUP(F11,[1]Реестр!A:K,4,0)*H11/G11,"")</f>
        <v>0.24</v>
      </c>
      <c r="C11" s="209">
        <f>IFERROR(VLOOKUP(F11,[1]Реестр!A:K,5,0)*H11/G11,"")</f>
        <v>6.68</v>
      </c>
      <c r="D11" s="209">
        <f>IFERROR(VLOOKUP(F11,[1]Реестр!A:K,6,0)*H11/G11,"")</f>
        <v>38.6</v>
      </c>
      <c r="E11" s="210" t="str">
        <f>IFERROR(VLOOKUP(F11,[1]Реестр!A:K,11,0),"")</f>
        <v>-</v>
      </c>
      <c r="F11" s="217" t="s">
        <v>65</v>
      </c>
      <c r="G11" s="211" t="str">
        <f>IFERROR(VLOOKUP(F11,[1]Реестр!A:K,2,0),"")</f>
        <v>100</v>
      </c>
      <c r="H11" s="206">
        <v>20</v>
      </c>
      <c r="I11" s="207">
        <v>1.8</v>
      </c>
      <c r="J11" s="206"/>
      <c r="K11" s="208"/>
    </row>
    <row r="12" spans="1:12" ht="18" customHeight="1" x14ac:dyDescent="0.3">
      <c r="A12" s="464" t="s">
        <v>16</v>
      </c>
      <c r="B12" s="464"/>
      <c r="C12" s="464"/>
      <c r="D12" s="464"/>
      <c r="E12" s="464"/>
      <c r="F12" s="464"/>
      <c r="G12" s="205"/>
      <c r="H12" s="206"/>
      <c r="I12" s="207">
        <f>SUM(I7:I11)</f>
        <v>108.64</v>
      </c>
      <c r="J12" s="206">
        <v>85.2</v>
      </c>
      <c r="K12" s="208">
        <f>I12-J12</f>
        <v>23.439999999999998</v>
      </c>
      <c r="L12" s="208"/>
    </row>
    <row r="13" spans="1:12" ht="18" customHeight="1" x14ac:dyDescent="0.3">
      <c r="A13" s="462" t="s">
        <v>17</v>
      </c>
      <c r="B13" s="462"/>
      <c r="C13" s="462"/>
      <c r="D13" s="462"/>
      <c r="E13" s="462"/>
      <c r="F13" s="462"/>
      <c r="G13" s="462"/>
      <c r="H13" s="462"/>
      <c r="I13" s="462"/>
      <c r="J13" s="212"/>
    </row>
    <row r="14" spans="1:12" ht="18.75" x14ac:dyDescent="0.3">
      <c r="A14" s="198">
        <v>14.01</v>
      </c>
      <c r="B14" s="196">
        <v>6.2079999999999993</v>
      </c>
      <c r="C14" s="196">
        <v>12.072000000000001</v>
      </c>
      <c r="D14" s="196">
        <v>117.68388800000001</v>
      </c>
      <c r="E14" s="197" t="s">
        <v>628</v>
      </c>
      <c r="F14" s="198" t="s">
        <v>629</v>
      </c>
      <c r="G14" s="199" t="str">
        <f>IFERROR(VLOOKUP(F14,[2]Реестр!A:K,2,0),"")</f>
        <v/>
      </c>
      <c r="H14" s="197">
        <v>80</v>
      </c>
      <c r="I14" s="236">
        <v>21.73</v>
      </c>
      <c r="J14" s="201" t="str">
        <f>IFERROR(VLOOKUP(O14,Реестр!#REF!,3,0)*Q14/P14,"")</f>
        <v/>
      </c>
    </row>
    <row r="15" spans="1:12" ht="18" customHeight="1" x14ac:dyDescent="0.3">
      <c r="A15" s="196">
        <v>8.9166666666666661</v>
      </c>
      <c r="B15" s="196">
        <v>7.75</v>
      </c>
      <c r="C15" s="196">
        <v>19.5</v>
      </c>
      <c r="D15" s="196">
        <v>185</v>
      </c>
      <c r="E15" s="197" t="s">
        <v>213</v>
      </c>
      <c r="F15" s="198" t="s">
        <v>212</v>
      </c>
      <c r="G15" s="199" t="str">
        <f>IFERROR(VLOOKUP(F15,[2]Реестр!A:K,2,0),"")</f>
        <v>300</v>
      </c>
      <c r="H15" s="200">
        <v>250</v>
      </c>
      <c r="I15" s="203">
        <v>42</v>
      </c>
      <c r="J15" s="201" t="str">
        <f>IFERROR(VLOOKUP(O15,Реестр!#REF!,3,0)*Q15/P15,"")</f>
        <v/>
      </c>
    </row>
    <row r="16" spans="1:12" ht="18" customHeight="1" x14ac:dyDescent="0.3">
      <c r="A16" s="196">
        <v>17.37</v>
      </c>
      <c r="B16" s="196">
        <v>9.0540000000000003</v>
      </c>
      <c r="C16" s="196">
        <v>30.789000000000001</v>
      </c>
      <c r="D16" s="196">
        <v>274.12200000000001</v>
      </c>
      <c r="E16" s="197" t="s">
        <v>630</v>
      </c>
      <c r="F16" s="198" t="s">
        <v>631</v>
      </c>
      <c r="G16" s="199" t="str">
        <f>IFERROR(VLOOKUP(F16,[2]Реестр!A:K,2,0),"")</f>
        <v/>
      </c>
      <c r="H16" s="200">
        <v>200</v>
      </c>
      <c r="I16" s="200">
        <v>87.64</v>
      </c>
      <c r="J16" s="201" t="str">
        <f>IFERROR(VLOOKUP(O16,Реестр!#REF!,3,0)*Q16/P16,"")</f>
        <v/>
      </c>
    </row>
    <row r="17" spans="1:12" ht="18" customHeight="1" x14ac:dyDescent="0.3">
      <c r="A17" s="196">
        <v>0.2</v>
      </c>
      <c r="B17" s="196">
        <v>0</v>
      </c>
      <c r="C17" s="196">
        <v>13.7</v>
      </c>
      <c r="D17" s="196">
        <v>53</v>
      </c>
      <c r="E17" s="197" t="s">
        <v>353</v>
      </c>
      <c r="F17" s="198" t="s">
        <v>499</v>
      </c>
      <c r="G17" s="199" t="str">
        <f>IFERROR(VLOOKUP(F17,[2]Реестр!A:K,2,0),"")</f>
        <v>200</v>
      </c>
      <c r="H17" s="200">
        <v>200</v>
      </c>
      <c r="I17" s="203">
        <v>4.38</v>
      </c>
      <c r="J17" s="201"/>
    </row>
    <row r="18" spans="1:12" ht="18" customHeight="1" x14ac:dyDescent="0.3">
      <c r="A18" s="196">
        <v>2.64</v>
      </c>
      <c r="B18" s="196">
        <v>0.24</v>
      </c>
      <c r="C18" s="196">
        <v>18.72</v>
      </c>
      <c r="D18" s="196">
        <v>89.6</v>
      </c>
      <c r="E18" s="197" t="s">
        <v>471</v>
      </c>
      <c r="F18" s="204" t="s">
        <v>66</v>
      </c>
      <c r="G18" s="199" t="str">
        <f>IFERROR(VLOOKUP(F18,[2]Реестр!A:K,2,0),"")</f>
        <v>100</v>
      </c>
      <c r="H18" s="200">
        <v>40</v>
      </c>
      <c r="I18" s="203">
        <v>3.6</v>
      </c>
      <c r="J18" s="201" t="str">
        <f>IFERROR(VLOOKUP(O18,Реестр!#REF!,3,0)*Q18/P18,"")</f>
        <v/>
      </c>
    </row>
    <row r="19" spans="1:12" ht="18" customHeight="1" x14ac:dyDescent="0.3">
      <c r="A19" s="196">
        <v>2.64</v>
      </c>
      <c r="B19" s="196">
        <v>0.48</v>
      </c>
      <c r="C19" s="196">
        <v>13.36</v>
      </c>
      <c r="D19" s="196">
        <v>77.2</v>
      </c>
      <c r="E19" s="197" t="s">
        <v>471</v>
      </c>
      <c r="F19" s="204" t="s">
        <v>65</v>
      </c>
      <c r="G19" s="199" t="str">
        <f>IFERROR(VLOOKUP(F19,[2]Реестр!A:K,2,0),"")</f>
        <v>100</v>
      </c>
      <c r="H19" s="200">
        <v>40</v>
      </c>
      <c r="I19" s="203">
        <v>3.6</v>
      </c>
      <c r="J19" s="201" t="str">
        <f>IFERROR(VLOOKUP(O19,Реестр!#REF!,3,0)*Q19/P19,"")</f>
        <v/>
      </c>
    </row>
    <row r="20" spans="1:12" ht="18" customHeight="1" x14ac:dyDescent="0.3">
      <c r="A20" s="196"/>
      <c r="B20" s="196"/>
      <c r="C20" s="196"/>
      <c r="D20" s="196"/>
      <c r="E20" s="214"/>
      <c r="F20" s="204"/>
      <c r="G20" s="199"/>
      <c r="H20" s="200"/>
      <c r="I20" s="203"/>
      <c r="J20" s="201"/>
    </row>
    <row r="21" spans="1:12" ht="18.75" x14ac:dyDescent="0.3">
      <c r="A21" s="464" t="s">
        <v>16</v>
      </c>
      <c r="B21" s="464"/>
      <c r="C21" s="464"/>
      <c r="D21" s="464"/>
      <c r="E21" s="464"/>
      <c r="F21" s="464"/>
      <c r="G21" s="205"/>
      <c r="H21" s="206"/>
      <c r="I21" s="207">
        <f>SUM(I14:I20)</f>
        <v>162.94999999999999</v>
      </c>
      <c r="J21" s="206">
        <v>127.79</v>
      </c>
      <c r="K21" s="208">
        <f>J21-I21</f>
        <v>-35.159999999999982</v>
      </c>
    </row>
    <row r="22" spans="1:12" ht="18.75" x14ac:dyDescent="0.3">
      <c r="A22" s="462" t="s">
        <v>500</v>
      </c>
      <c r="B22" s="462"/>
      <c r="C22" s="462"/>
      <c r="D22" s="462"/>
      <c r="E22" s="462"/>
      <c r="F22" s="462"/>
      <c r="G22" s="462"/>
      <c r="H22" s="462"/>
      <c r="I22" s="462"/>
      <c r="J22" s="212"/>
    </row>
    <row r="23" spans="1:12" ht="18.75" x14ac:dyDescent="0.25">
      <c r="A23" s="209">
        <v>20.9</v>
      </c>
      <c r="B23" s="209">
        <v>3.6</v>
      </c>
      <c r="C23" s="209">
        <v>6.6</v>
      </c>
      <c r="D23" s="209">
        <v>114</v>
      </c>
      <c r="E23" s="210" t="s">
        <v>626</v>
      </c>
      <c r="F23" s="223" t="s">
        <v>627</v>
      </c>
      <c r="G23" s="211" t="str">
        <f>IFERROR(VLOOKUP(F23,[1]Реестр!A:K,2,0),"")</f>
        <v/>
      </c>
      <c r="H23" s="210">
        <v>30</v>
      </c>
      <c r="I23" s="230">
        <v>7.43</v>
      </c>
      <c r="J23" s="212"/>
    </row>
    <row r="24" spans="1:12" ht="18.75" x14ac:dyDescent="0.3">
      <c r="A24" s="196">
        <v>21.712499999999999</v>
      </c>
      <c r="B24" s="196">
        <v>11.317500000000001</v>
      </c>
      <c r="C24" s="196">
        <v>38.486249999999998</v>
      </c>
      <c r="D24" s="196">
        <v>342.65249999999997</v>
      </c>
      <c r="E24" s="197" t="s">
        <v>630</v>
      </c>
      <c r="F24" s="198" t="s">
        <v>631</v>
      </c>
      <c r="G24" s="199" t="str">
        <f>IFERROR(VLOOKUP(F24,[2]Реестр!A:K,2,0),"")</f>
        <v/>
      </c>
      <c r="H24" s="200">
        <v>250</v>
      </c>
      <c r="I24" s="200">
        <v>109.55</v>
      </c>
      <c r="J24" s="201" t="str">
        <f>IFERROR(VLOOKUP(O24,Реестр!#REF!,3,0)*Q24/P24,"")</f>
        <v/>
      </c>
    </row>
    <row r="25" spans="1:12" ht="18.75" x14ac:dyDescent="0.3">
      <c r="A25" s="196">
        <v>0.2</v>
      </c>
      <c r="B25" s="196">
        <v>0</v>
      </c>
      <c r="C25" s="196">
        <v>13.7</v>
      </c>
      <c r="D25" s="196">
        <v>53</v>
      </c>
      <c r="E25" s="197" t="s">
        <v>353</v>
      </c>
      <c r="F25" s="198" t="s">
        <v>499</v>
      </c>
      <c r="G25" s="199" t="str">
        <f>IFERROR(VLOOKUP(F25,[2]Реестр!A:K,2,0),"")</f>
        <v>200</v>
      </c>
      <c r="H25" s="200">
        <v>200</v>
      </c>
      <c r="I25" s="203">
        <v>4.38</v>
      </c>
      <c r="J25" s="201"/>
    </row>
    <row r="26" spans="1:12" ht="18.75" x14ac:dyDescent="0.3">
      <c r="A26" s="196">
        <v>2.64</v>
      </c>
      <c r="B26" s="196">
        <v>0.24</v>
      </c>
      <c r="C26" s="196">
        <v>18.72</v>
      </c>
      <c r="D26" s="196">
        <v>89.6</v>
      </c>
      <c r="E26" s="197" t="s">
        <v>471</v>
      </c>
      <c r="F26" s="204" t="s">
        <v>66</v>
      </c>
      <c r="G26" s="199" t="str">
        <f>IFERROR(VLOOKUP(F26,[2]Реестр!A:K,2,0),"")</f>
        <v>100</v>
      </c>
      <c r="H26" s="200">
        <v>40</v>
      </c>
      <c r="I26" s="203">
        <v>3.6</v>
      </c>
      <c r="J26" s="201" t="str">
        <f>IFERROR(VLOOKUP(O26,Реестр!#REF!,3,0)*Q26/P26,"")</f>
        <v/>
      </c>
    </row>
    <row r="27" spans="1:12" ht="18.75" x14ac:dyDescent="0.3">
      <c r="A27" s="196">
        <v>2.64</v>
      </c>
      <c r="B27" s="196">
        <v>0.48</v>
      </c>
      <c r="C27" s="196">
        <v>13.36</v>
      </c>
      <c r="D27" s="196">
        <v>77.2</v>
      </c>
      <c r="E27" s="197" t="s">
        <v>471</v>
      </c>
      <c r="F27" s="204" t="s">
        <v>65</v>
      </c>
      <c r="G27" s="199" t="str">
        <f>IFERROR(VLOOKUP(F27,[2]Реестр!A:K,2,0),"")</f>
        <v>100</v>
      </c>
      <c r="H27" s="200">
        <v>40</v>
      </c>
      <c r="I27" s="203">
        <v>3.6</v>
      </c>
      <c r="J27" s="201"/>
    </row>
    <row r="28" spans="1:12" ht="18.75" x14ac:dyDescent="0.3">
      <c r="A28" s="196"/>
      <c r="B28" s="196"/>
      <c r="C28" s="196"/>
      <c r="D28" s="196"/>
      <c r="E28" s="197"/>
      <c r="F28" s="204"/>
      <c r="G28" s="199"/>
      <c r="H28" s="200"/>
      <c r="I28" s="203"/>
      <c r="J28" s="201" t="str">
        <f>IFERROR(VLOOKUP(O28,Реестр!#REF!,3,0)*Q28/P28,"")</f>
        <v/>
      </c>
    </row>
    <row r="29" spans="1:12" ht="18.75" x14ac:dyDescent="0.3">
      <c r="A29" s="453" t="s">
        <v>16</v>
      </c>
      <c r="B29" s="454"/>
      <c r="C29" s="454"/>
      <c r="D29" s="454"/>
      <c r="E29" s="454"/>
      <c r="F29" s="455"/>
      <c r="G29" s="205"/>
      <c r="H29" s="206"/>
      <c r="I29" s="207">
        <f>SUM(I23:I28)</f>
        <v>128.55999999999997</v>
      </c>
      <c r="J29" s="206">
        <v>98.52</v>
      </c>
      <c r="K29" s="208">
        <f>I29-J29</f>
        <v>30.039999999999978</v>
      </c>
      <c r="L29" s="208"/>
    </row>
    <row r="30" spans="1:12" ht="18.75" x14ac:dyDescent="0.3">
      <c r="A30" s="462" t="s">
        <v>501</v>
      </c>
      <c r="B30" s="462"/>
      <c r="C30" s="462"/>
      <c r="D30" s="462"/>
      <c r="E30" s="462"/>
      <c r="F30" s="462"/>
      <c r="G30" s="462"/>
      <c r="H30" s="462"/>
      <c r="I30" s="462"/>
      <c r="J30" s="201"/>
    </row>
    <row r="31" spans="1:12" ht="18.75" x14ac:dyDescent="0.3">
      <c r="A31" s="198">
        <v>14.01</v>
      </c>
      <c r="B31" s="196">
        <v>6.2079999999999993</v>
      </c>
      <c r="C31" s="196">
        <v>12.072000000000001</v>
      </c>
      <c r="D31" s="196">
        <v>117.68388800000001</v>
      </c>
      <c r="E31" s="197" t="s">
        <v>628</v>
      </c>
      <c r="F31" s="198" t="s">
        <v>629</v>
      </c>
      <c r="G31" s="199" t="str">
        <f>IFERROR(VLOOKUP(F31,[2]Реестр!A:K,2,0),"")</f>
        <v/>
      </c>
      <c r="H31" s="197">
        <v>100</v>
      </c>
      <c r="I31" s="236">
        <v>27.91</v>
      </c>
      <c r="J31" s="201"/>
    </row>
    <row r="32" spans="1:12" ht="18.75" x14ac:dyDescent="0.3">
      <c r="A32" s="196">
        <v>8.9166666666666661</v>
      </c>
      <c r="B32" s="196">
        <v>7.75</v>
      </c>
      <c r="C32" s="196">
        <v>19.5</v>
      </c>
      <c r="D32" s="196">
        <v>185</v>
      </c>
      <c r="E32" s="197" t="s">
        <v>213</v>
      </c>
      <c r="F32" s="198" t="s">
        <v>212</v>
      </c>
      <c r="G32" s="199" t="str">
        <f>IFERROR(VLOOKUP(F32,[2]Реестр!A:K,2,0),"")</f>
        <v>300</v>
      </c>
      <c r="H32" s="200">
        <v>250</v>
      </c>
      <c r="I32" s="203">
        <v>42</v>
      </c>
      <c r="J32" s="206"/>
      <c r="K32" s="208">
        <f>I38-J32</f>
        <v>192.83999999999997</v>
      </c>
    </row>
    <row r="33" spans="1:12" ht="18.75" x14ac:dyDescent="0.3">
      <c r="A33" s="196">
        <v>21.712499999999999</v>
      </c>
      <c r="B33" s="196">
        <v>11.317500000000001</v>
      </c>
      <c r="C33" s="196">
        <v>38.486249999999998</v>
      </c>
      <c r="D33" s="196">
        <v>342.65249999999997</v>
      </c>
      <c r="E33" s="197" t="s">
        <v>630</v>
      </c>
      <c r="F33" s="198" t="s">
        <v>631</v>
      </c>
      <c r="G33" s="199" t="str">
        <f>IFERROR(VLOOKUP(F33,[2]Реестр!A:K,2,0),"")</f>
        <v/>
      </c>
      <c r="H33" s="200">
        <v>250</v>
      </c>
      <c r="I33" s="200">
        <v>109.55</v>
      </c>
      <c r="J33" s="212"/>
    </row>
    <row r="34" spans="1:12" ht="18.75" x14ac:dyDescent="0.3">
      <c r="A34" s="196">
        <v>0.2</v>
      </c>
      <c r="B34" s="196">
        <v>0</v>
      </c>
      <c r="C34" s="196">
        <v>13.7</v>
      </c>
      <c r="D34" s="196">
        <v>53</v>
      </c>
      <c r="E34" s="197" t="s">
        <v>353</v>
      </c>
      <c r="F34" s="198" t="s">
        <v>499</v>
      </c>
      <c r="G34" s="199" t="str">
        <f>IFERROR(VLOOKUP(F34,[2]Реестр!A:K,2,0),"")</f>
        <v>200</v>
      </c>
      <c r="H34" s="200">
        <v>200</v>
      </c>
      <c r="I34" s="203">
        <v>4.38</v>
      </c>
      <c r="J34" s="212"/>
    </row>
    <row r="35" spans="1:12" ht="18.75" x14ac:dyDescent="0.3">
      <c r="A35" s="196">
        <v>3.3</v>
      </c>
      <c r="B35" s="196">
        <v>0.3</v>
      </c>
      <c r="C35" s="196">
        <v>23.4</v>
      </c>
      <c r="D35" s="196">
        <v>112</v>
      </c>
      <c r="E35" s="197" t="s">
        <v>471</v>
      </c>
      <c r="F35" s="204" t="s">
        <v>66</v>
      </c>
      <c r="G35" s="199" t="str">
        <f>IFERROR(VLOOKUP(F35,[2]Реестр!A:K,2,0),"")</f>
        <v>100</v>
      </c>
      <c r="H35" s="200">
        <v>50</v>
      </c>
      <c r="I35" s="203">
        <v>4.5</v>
      </c>
      <c r="J35" s="212"/>
    </row>
    <row r="36" spans="1:12" ht="18.75" x14ac:dyDescent="0.3">
      <c r="A36" s="196">
        <v>3.3</v>
      </c>
      <c r="B36" s="196">
        <v>0.6</v>
      </c>
      <c r="C36" s="196">
        <v>16.7</v>
      </c>
      <c r="D36" s="196">
        <v>96.5</v>
      </c>
      <c r="E36" s="197" t="s">
        <v>471</v>
      </c>
      <c r="F36" s="204" t="s">
        <v>65</v>
      </c>
      <c r="G36" s="199" t="str">
        <f>IFERROR(VLOOKUP(F36,[2]Реестр!A:K,2,0),"")</f>
        <v>100</v>
      </c>
      <c r="H36" s="200">
        <v>50</v>
      </c>
      <c r="I36" s="203">
        <v>4.5</v>
      </c>
      <c r="J36" s="213"/>
    </row>
    <row r="37" spans="1:12" ht="18.75" x14ac:dyDescent="0.3">
      <c r="A37" s="196"/>
      <c r="B37" s="196"/>
      <c r="C37" s="196"/>
      <c r="D37" s="196"/>
      <c r="E37" s="214"/>
      <c r="F37" s="204"/>
      <c r="G37" s="199"/>
      <c r="H37" s="200"/>
      <c r="I37" s="203"/>
      <c r="J37" s="213"/>
    </row>
    <row r="38" spans="1:12" ht="18.75" x14ac:dyDescent="0.3">
      <c r="A38" s="453" t="s">
        <v>16</v>
      </c>
      <c r="B38" s="454"/>
      <c r="C38" s="454"/>
      <c r="D38" s="454"/>
      <c r="E38" s="454"/>
      <c r="F38" s="455"/>
      <c r="G38" s="205"/>
      <c r="H38" s="206"/>
      <c r="I38" s="207">
        <f>SUM(I31:I37)</f>
        <v>192.83999999999997</v>
      </c>
      <c r="J38" s="206">
        <v>147.79</v>
      </c>
      <c r="K38" s="208">
        <f>I38-J38</f>
        <v>45.049999999999983</v>
      </c>
    </row>
    <row r="39" spans="1:12" ht="18.75" x14ac:dyDescent="0.3">
      <c r="A39" s="462" t="s">
        <v>18</v>
      </c>
      <c r="B39" s="462"/>
      <c r="C39" s="462"/>
      <c r="D39" s="462"/>
      <c r="E39" s="462"/>
      <c r="F39" s="462"/>
      <c r="G39" s="462"/>
      <c r="H39" s="462"/>
      <c r="I39" s="462"/>
      <c r="J39" s="213"/>
    </row>
    <row r="40" spans="1:12" ht="18.75" x14ac:dyDescent="0.3">
      <c r="A40" s="462" t="s">
        <v>19</v>
      </c>
      <c r="B40" s="462"/>
      <c r="C40" s="462"/>
      <c r="D40" s="462"/>
      <c r="E40" s="462"/>
      <c r="F40" s="462"/>
      <c r="G40" s="462"/>
      <c r="H40" s="462"/>
      <c r="I40" s="462"/>
      <c r="J40" s="213"/>
    </row>
    <row r="41" spans="1:12" ht="18.75" x14ac:dyDescent="0.3">
      <c r="A41" s="209">
        <f>IFERROR(VLOOKUP(F41,[1]Реестр!A:K,3,0)*H41/G41,"")</f>
        <v>3.8</v>
      </c>
      <c r="B41" s="209">
        <f>IFERROR(VLOOKUP(F41,[1]Реестр!A:K,4,0)*H41/G41,"")</f>
        <v>6.6</v>
      </c>
      <c r="C41" s="209">
        <f>IFERROR(VLOOKUP(F41,[1]Реестр!A:K,5,0)*H41/G41,"")</f>
        <v>9.6999999999999993</v>
      </c>
      <c r="D41" s="209">
        <f>IFERROR(VLOOKUP(F41,[1]Реестр!A:K,6,0)*H41/G41,"")</f>
        <v>116</v>
      </c>
      <c r="E41" s="210" t="str">
        <f>IFERROR(VLOOKUP(F41,[1]Реестр!A:K,11,0),"")</f>
        <v>1*58</v>
      </c>
      <c r="F41" s="233" t="s">
        <v>527</v>
      </c>
      <c r="G41" s="211" t="str">
        <f>IFERROR(VLOOKUP(F41,[1]Реестр!A:K,2,0),"")</f>
        <v>35</v>
      </c>
      <c r="H41" s="210">
        <v>35</v>
      </c>
      <c r="I41" s="207">
        <v>26.85</v>
      </c>
      <c r="J41" s="213" t="s">
        <v>20</v>
      </c>
    </row>
    <row r="42" spans="1:12" ht="18.75" x14ac:dyDescent="0.3">
      <c r="A42" s="209">
        <v>9.75</v>
      </c>
      <c r="B42" s="209">
        <v>12.14</v>
      </c>
      <c r="C42" s="209">
        <v>36.06</v>
      </c>
      <c r="D42" s="209">
        <v>291.64</v>
      </c>
      <c r="E42" s="210" t="s">
        <v>133</v>
      </c>
      <c r="F42" s="223" t="s">
        <v>614</v>
      </c>
      <c r="G42" s="211" t="str">
        <f>IFERROR(VLOOKUP(F42,[1]Реестр!A:K,2,0),"")</f>
        <v/>
      </c>
      <c r="H42" s="210">
        <v>230</v>
      </c>
      <c r="I42" s="207">
        <v>38.270000000000003</v>
      </c>
      <c r="J42" s="213" t="s">
        <v>537</v>
      </c>
      <c r="K42" s="237"/>
      <c r="L42" s="237"/>
    </row>
    <row r="43" spans="1:12" ht="18.75" x14ac:dyDescent="0.3">
      <c r="A43" s="209">
        <f>IFERROR(VLOOKUP(F43,[1]Реестр!A:K,3,0)*H43/G43,"")</f>
        <v>0.15</v>
      </c>
      <c r="B43" s="209">
        <f>IFERROR(VLOOKUP(F43,[1]Реестр!A:K,4,0)*H43/G43,"")</f>
        <v>0.09</v>
      </c>
      <c r="C43" s="209">
        <f>IFERROR(VLOOKUP(F43,[1]Реестр!A:K,5,0)*H43/G43,"")</f>
        <v>8.58</v>
      </c>
      <c r="D43" s="209">
        <f>IFERROR(VLOOKUP(F43,[1]Реестр!A:K,6,0)*H43/G43,"")</f>
        <v>34.799999999999997</v>
      </c>
      <c r="E43" s="210" t="str">
        <f>IFERROR(VLOOKUP(F43,[1]Реестр!A:K,11,0),"")</f>
        <v>12*2</v>
      </c>
      <c r="F43" s="216" t="s">
        <v>371</v>
      </c>
      <c r="G43" s="211" t="str">
        <f>IFERROR(VLOOKUP(F43,[1]Реестр!A:K,2,0),"")</f>
        <v>100</v>
      </c>
      <c r="H43" s="210">
        <v>30</v>
      </c>
      <c r="I43" s="207">
        <v>17.559999999999999</v>
      </c>
      <c r="J43" s="213" t="s">
        <v>477</v>
      </c>
      <c r="K43" s="237"/>
      <c r="L43" s="237"/>
    </row>
    <row r="44" spans="1:12" ht="18.75" x14ac:dyDescent="0.3">
      <c r="A44" s="209">
        <f>IFERROR(VLOOKUP(F44,[1]Реестр!A:K,3,0)*H44/G44,"")</f>
        <v>3.6</v>
      </c>
      <c r="B44" s="209">
        <f>IFERROR(VLOOKUP(F44,[1]Реестр!A:K,4,0)*H44/G44,"")</f>
        <v>2.7</v>
      </c>
      <c r="C44" s="209">
        <f>IFERROR(VLOOKUP(F44,[1]Реестр!A:K,5,0)*H44/G44,"")</f>
        <v>22.9</v>
      </c>
      <c r="D44" s="209">
        <f>IFERROR(VLOOKUP(F44,[1]Реестр!A:K,6,0)*H44/G44,"")</f>
        <v>127</v>
      </c>
      <c r="E44" s="210" t="str">
        <f>IFERROR(VLOOKUP(F44,[1]Реестр!A:K,11,0),"")</f>
        <v>11*51</v>
      </c>
      <c r="F44" s="216" t="s">
        <v>342</v>
      </c>
      <c r="G44" s="211">
        <f>IFERROR(VLOOKUP(F44,[1]Реестр!A:K,2,0),"")</f>
        <v>200</v>
      </c>
      <c r="H44" s="206">
        <v>200</v>
      </c>
      <c r="I44" s="207">
        <v>24.16</v>
      </c>
      <c r="J44" s="213" t="s">
        <v>479</v>
      </c>
      <c r="K44" s="237"/>
      <c r="L44" s="237"/>
    </row>
    <row r="45" spans="1:12" ht="18.75" x14ac:dyDescent="0.3">
      <c r="A45" s="209">
        <f>IFERROR(VLOOKUP(F45,[1]Реестр!A:K,3,0)*H45/G45,"")</f>
        <v>1.32</v>
      </c>
      <c r="B45" s="209">
        <f>IFERROR(VLOOKUP(F45,[1]Реестр!A:K,4,0)*H45/G45,"")</f>
        <v>0.24</v>
      </c>
      <c r="C45" s="209">
        <f>IFERROR(VLOOKUP(F45,[1]Реестр!A:K,5,0)*H45/G45,"")</f>
        <v>6.68</v>
      </c>
      <c r="D45" s="209">
        <f>IFERROR(VLOOKUP(F45,[1]Реестр!A:K,6,0)*H45/G45,"")</f>
        <v>38.6</v>
      </c>
      <c r="E45" s="210" t="str">
        <f>IFERROR(VLOOKUP(F45,[1]Реестр!A:K,11,0),"")</f>
        <v>-</v>
      </c>
      <c r="F45" s="217" t="s">
        <v>65</v>
      </c>
      <c r="G45" s="211" t="str">
        <f>IFERROR(VLOOKUP(F45,[1]Реестр!A:K,2,0),"")</f>
        <v>100</v>
      </c>
      <c r="H45" s="206">
        <v>20</v>
      </c>
      <c r="I45" s="207">
        <v>1.8</v>
      </c>
      <c r="J45" s="213" t="s">
        <v>475</v>
      </c>
      <c r="K45" s="238"/>
      <c r="L45" s="237"/>
    </row>
    <row r="46" spans="1:12" ht="18.75" x14ac:dyDescent="0.3">
      <c r="A46" s="465" t="s">
        <v>25</v>
      </c>
      <c r="B46" s="466"/>
      <c r="C46" s="466"/>
      <c r="D46" s="466"/>
      <c r="E46" s="466"/>
      <c r="F46" s="466"/>
      <c r="G46" s="466"/>
      <c r="H46" s="466"/>
      <c r="I46" s="467"/>
      <c r="J46" s="213"/>
    </row>
    <row r="47" spans="1:12" s="234" customFormat="1" ht="18.75" x14ac:dyDescent="0.25">
      <c r="A47" s="198">
        <v>14.01</v>
      </c>
      <c r="B47" s="196">
        <v>6.2079999999999993</v>
      </c>
      <c r="C47" s="196">
        <v>12.072000000000001</v>
      </c>
      <c r="D47" s="196">
        <v>117.68388800000001</v>
      </c>
      <c r="E47" s="197" t="s">
        <v>628</v>
      </c>
      <c r="F47" s="198" t="s">
        <v>629</v>
      </c>
      <c r="G47" s="199" t="str">
        <f>IFERROR(VLOOKUP(F47,[2]Реестр!A:K,2,0),"")</f>
        <v/>
      </c>
      <c r="H47" s="197">
        <v>80</v>
      </c>
      <c r="I47" s="236">
        <v>21.73</v>
      </c>
      <c r="J47" s="239" t="s">
        <v>538</v>
      </c>
    </row>
    <row r="48" spans="1:12" ht="18.75" x14ac:dyDescent="0.3">
      <c r="A48" s="196">
        <v>8.9166666666666661</v>
      </c>
      <c r="B48" s="196">
        <v>7.75</v>
      </c>
      <c r="C48" s="196">
        <v>19.5</v>
      </c>
      <c r="D48" s="196">
        <v>185</v>
      </c>
      <c r="E48" s="197" t="s">
        <v>213</v>
      </c>
      <c r="F48" s="198" t="s">
        <v>212</v>
      </c>
      <c r="G48" s="199" t="str">
        <f>IFERROR(VLOOKUP(F48,[2]Реестр!A:K,2,0),"")</f>
        <v>300</v>
      </c>
      <c r="H48" s="200">
        <v>250</v>
      </c>
      <c r="I48" s="203">
        <v>42</v>
      </c>
      <c r="J48" s="213" t="s">
        <v>478</v>
      </c>
    </row>
    <row r="49" spans="1:11" ht="18.75" x14ac:dyDescent="0.3">
      <c r="A49" s="196">
        <v>17.37</v>
      </c>
      <c r="B49" s="196">
        <v>9.0540000000000003</v>
      </c>
      <c r="C49" s="196">
        <v>30.789000000000001</v>
      </c>
      <c r="D49" s="196">
        <v>274.12200000000001</v>
      </c>
      <c r="E49" s="197" t="s">
        <v>630</v>
      </c>
      <c r="F49" s="198" t="s">
        <v>631</v>
      </c>
      <c r="G49" s="199" t="str">
        <f>IFERROR(VLOOKUP(F49,[2]Реестр!A:K,2,0),"")</f>
        <v/>
      </c>
      <c r="H49" s="200">
        <v>200</v>
      </c>
      <c r="I49" s="200">
        <v>87.64</v>
      </c>
      <c r="J49" s="213" t="s">
        <v>537</v>
      </c>
    </row>
    <row r="50" spans="1:11" ht="18.75" x14ac:dyDescent="0.3">
      <c r="A50" s="196">
        <v>0.2</v>
      </c>
      <c r="B50" s="196">
        <v>0</v>
      </c>
      <c r="C50" s="196">
        <v>13.7</v>
      </c>
      <c r="D50" s="196">
        <v>53</v>
      </c>
      <c r="E50" s="197" t="s">
        <v>353</v>
      </c>
      <c r="F50" s="198" t="s">
        <v>499</v>
      </c>
      <c r="G50" s="199" t="str">
        <f>IFERROR(VLOOKUP(F50,[2]Реестр!A:K,2,0),"")</f>
        <v>200</v>
      </c>
      <c r="H50" s="200">
        <v>200</v>
      </c>
      <c r="I50" s="203">
        <v>4.38</v>
      </c>
      <c r="J50" s="213" t="s">
        <v>29</v>
      </c>
    </row>
    <row r="51" spans="1:11" ht="18.75" x14ac:dyDescent="0.3">
      <c r="A51" s="196">
        <v>2.64</v>
      </c>
      <c r="B51" s="196">
        <v>0.24</v>
      </c>
      <c r="C51" s="196">
        <v>18.72</v>
      </c>
      <c r="D51" s="196">
        <v>89.6</v>
      </c>
      <c r="E51" s="197" t="s">
        <v>471</v>
      </c>
      <c r="F51" s="204" t="s">
        <v>66</v>
      </c>
      <c r="G51" s="199" t="str">
        <f>IFERROR(VLOOKUP(F51,[2]Реестр!A:K,2,0),"")</f>
        <v>100</v>
      </c>
      <c r="H51" s="200">
        <v>40</v>
      </c>
      <c r="I51" s="203">
        <v>3.6</v>
      </c>
      <c r="J51" s="213" t="s">
        <v>479</v>
      </c>
    </row>
    <row r="52" spans="1:11" ht="18.75" x14ac:dyDescent="0.3">
      <c r="A52" s="196">
        <v>2.64</v>
      </c>
      <c r="B52" s="196">
        <v>0.48</v>
      </c>
      <c r="C52" s="196">
        <v>13.36</v>
      </c>
      <c r="D52" s="196">
        <v>77.2</v>
      </c>
      <c r="E52" s="197" t="s">
        <v>471</v>
      </c>
      <c r="F52" s="204" t="s">
        <v>65</v>
      </c>
      <c r="G52" s="199" t="str">
        <f>IFERROR(VLOOKUP(F52,[2]Реестр!A:K,2,0),"")</f>
        <v>100</v>
      </c>
      <c r="H52" s="200">
        <v>40</v>
      </c>
      <c r="I52" s="203">
        <v>3.6</v>
      </c>
      <c r="J52" s="213" t="s">
        <v>539</v>
      </c>
    </row>
    <row r="53" spans="1:11" ht="18.75" x14ac:dyDescent="0.3">
      <c r="A53" s="196"/>
      <c r="B53" s="196"/>
      <c r="C53" s="196"/>
      <c r="D53" s="196"/>
      <c r="E53" s="214"/>
      <c r="F53" s="204"/>
      <c r="G53" s="199"/>
      <c r="H53" s="200"/>
      <c r="I53" s="203"/>
      <c r="J53" s="213" t="s">
        <v>540</v>
      </c>
    </row>
    <row r="54" spans="1:11" ht="18.75" x14ac:dyDescent="0.3">
      <c r="A54" s="464" t="s">
        <v>16</v>
      </c>
      <c r="B54" s="464"/>
      <c r="C54" s="464"/>
      <c r="D54" s="464"/>
      <c r="E54" s="464"/>
      <c r="F54" s="464"/>
      <c r="G54" s="206"/>
      <c r="H54" s="206"/>
      <c r="I54" s="207">
        <f>SUM(I41:I45,I47:I53)</f>
        <v>271.59000000000003</v>
      </c>
      <c r="J54" s="206">
        <v>212.99</v>
      </c>
      <c r="K54" s="208">
        <f>I54-J54</f>
        <v>58.600000000000023</v>
      </c>
    </row>
    <row r="55" spans="1:11" ht="18.75" x14ac:dyDescent="0.3">
      <c r="A55" s="465" t="s">
        <v>33</v>
      </c>
      <c r="B55" s="466"/>
      <c r="C55" s="466"/>
      <c r="D55" s="466"/>
      <c r="E55" s="466"/>
      <c r="F55" s="466"/>
      <c r="G55" s="466"/>
      <c r="H55" s="466"/>
      <c r="I55" s="467"/>
      <c r="J55" s="213"/>
    </row>
    <row r="56" spans="1:11" ht="18.75" x14ac:dyDescent="0.3">
      <c r="A56" s="465" t="s">
        <v>19</v>
      </c>
      <c r="B56" s="466"/>
      <c r="C56" s="466"/>
      <c r="D56" s="466"/>
      <c r="E56" s="466"/>
      <c r="F56" s="466"/>
      <c r="G56" s="466"/>
      <c r="H56" s="466"/>
      <c r="I56" s="467"/>
      <c r="J56" s="213"/>
    </row>
    <row r="57" spans="1:11" ht="18.75" x14ac:dyDescent="0.3">
      <c r="A57" s="209">
        <f>IFERROR(VLOOKUP(F57,[1]Реестр!A:K,3,0)*H57/G57,"")</f>
        <v>5.08</v>
      </c>
      <c r="B57" s="209">
        <f>IFERROR(VLOOKUP(F57,[1]Реестр!A:K,4,0)*H57/G57,"")</f>
        <v>11.55</v>
      </c>
      <c r="C57" s="209">
        <f>IFERROR(VLOOKUP(F57,[1]Реестр!A:K,5,0)*H57/G57,"")</f>
        <v>9.9700000000000006</v>
      </c>
      <c r="D57" s="209">
        <f>IFERROR(VLOOKUP(F57,[1]Реестр!A:K,6,0)*H57/G57,"")</f>
        <v>164.15</v>
      </c>
      <c r="E57" s="210" t="str">
        <f>IFERROR(VLOOKUP(F57,[1]Реестр!A:K,11,0),"")</f>
        <v>1*51</v>
      </c>
      <c r="F57" s="216" t="s">
        <v>91</v>
      </c>
      <c r="G57" s="211" t="str">
        <f>IFERROR(VLOOKUP(F57,[1]Реестр!A:K,2,0),"")</f>
        <v>45</v>
      </c>
      <c r="H57" s="206">
        <v>45</v>
      </c>
      <c r="I57" s="207">
        <v>35.799999999999997</v>
      </c>
      <c r="J57" s="213" t="s">
        <v>20</v>
      </c>
    </row>
    <row r="58" spans="1:11" ht="18.75" x14ac:dyDescent="0.3">
      <c r="A58" s="209">
        <v>9.75</v>
      </c>
      <c r="B58" s="209">
        <v>12.14</v>
      </c>
      <c r="C58" s="209">
        <v>36.06</v>
      </c>
      <c r="D58" s="209">
        <v>291.64</v>
      </c>
      <c r="E58" s="210" t="s">
        <v>133</v>
      </c>
      <c r="F58" s="223" t="s">
        <v>614</v>
      </c>
      <c r="G58" s="211" t="str">
        <f>IFERROR(VLOOKUP(F58,[1]Реестр!A:K,2,0),"")</f>
        <v/>
      </c>
      <c r="H58" s="210">
        <v>250</v>
      </c>
      <c r="I58" s="207">
        <v>41.59</v>
      </c>
      <c r="J58" s="213" t="s">
        <v>537</v>
      </c>
    </row>
    <row r="59" spans="1:11" ht="18.75" x14ac:dyDescent="0.3">
      <c r="A59" s="209">
        <f>IFERROR(VLOOKUP(F59,[1]Реестр!A:K,3,0)*H59/G59,"")</f>
        <v>0.2</v>
      </c>
      <c r="B59" s="209">
        <f>IFERROR(VLOOKUP(F59,[1]Реестр!A:K,4,0)*H59/G59,"")</f>
        <v>0.12</v>
      </c>
      <c r="C59" s="209">
        <f>IFERROR(VLOOKUP(F59,[1]Реестр!A:K,5,0)*H59/G59,"")</f>
        <v>11.44</v>
      </c>
      <c r="D59" s="209">
        <f>IFERROR(VLOOKUP(F59,[1]Реестр!A:K,6,0)*H59/G59,"")</f>
        <v>46.4</v>
      </c>
      <c r="E59" s="210" t="str">
        <f>IFERROR(VLOOKUP(F59,[1]Реестр!A:K,11,0),"")</f>
        <v>12*2</v>
      </c>
      <c r="F59" s="216" t="s">
        <v>371</v>
      </c>
      <c r="G59" s="211" t="str">
        <f>IFERROR(VLOOKUP(F59,[1]Реестр!A:K,2,0),"")</f>
        <v>100</v>
      </c>
      <c r="H59" s="210">
        <v>40</v>
      </c>
      <c r="I59" s="207">
        <v>23.41</v>
      </c>
      <c r="J59" s="213" t="s">
        <v>477</v>
      </c>
    </row>
    <row r="60" spans="1:11" ht="18.75" x14ac:dyDescent="0.3">
      <c r="A60" s="209">
        <f>IFERROR(VLOOKUP(F60,[1]Реестр!A:K,3,0)*H60/G60,"")</f>
        <v>3.6</v>
      </c>
      <c r="B60" s="209">
        <f>IFERROR(VLOOKUP(F60,[1]Реестр!A:K,4,0)*H60/G60,"")</f>
        <v>2.7</v>
      </c>
      <c r="C60" s="209">
        <f>IFERROR(VLOOKUP(F60,[1]Реестр!A:K,5,0)*H60/G60,"")</f>
        <v>22.9</v>
      </c>
      <c r="D60" s="209">
        <f>IFERROR(VLOOKUP(F60,[1]Реестр!A:K,6,0)*H60/G60,"")</f>
        <v>127</v>
      </c>
      <c r="E60" s="210" t="str">
        <f>IFERROR(VLOOKUP(F60,[1]Реестр!A:K,11,0),"")</f>
        <v>11*51</v>
      </c>
      <c r="F60" s="216" t="s">
        <v>342</v>
      </c>
      <c r="G60" s="211">
        <f>IFERROR(VLOOKUP(F60,[1]Реестр!A:K,2,0),"")</f>
        <v>200</v>
      </c>
      <c r="H60" s="206">
        <v>200</v>
      </c>
      <c r="I60" s="207">
        <v>24.16</v>
      </c>
      <c r="J60" s="213" t="s">
        <v>541</v>
      </c>
      <c r="K60" s="237"/>
    </row>
    <row r="61" spans="1:11" ht="18.75" x14ac:dyDescent="0.3">
      <c r="A61" s="209">
        <f>IFERROR(VLOOKUP(F61,[1]Реестр!A:K,3,0)*H61/G61,"")</f>
        <v>2.64</v>
      </c>
      <c r="B61" s="209">
        <f>IFERROR(VLOOKUP(F61,[1]Реестр!A:K,4,0)*H61/G61,"")</f>
        <v>0.48</v>
      </c>
      <c r="C61" s="209">
        <f>IFERROR(VLOOKUP(F61,[1]Реестр!A:K,5,0)*H61/G61,"")</f>
        <v>13.36</v>
      </c>
      <c r="D61" s="209">
        <f>IFERROR(VLOOKUP(F61,[1]Реестр!A:K,6,0)*H61/G61,"")</f>
        <v>77.2</v>
      </c>
      <c r="E61" s="210" t="str">
        <f>IFERROR(VLOOKUP(F61,[1]Реестр!A:K,11,0),"")</f>
        <v>-</v>
      </c>
      <c r="F61" s="217" t="s">
        <v>65</v>
      </c>
      <c r="G61" s="211" t="str">
        <f>IFERROR(VLOOKUP(F61,[1]Реестр!A:K,2,0),"")</f>
        <v>100</v>
      </c>
      <c r="H61" s="206">
        <v>40</v>
      </c>
      <c r="I61" s="207">
        <v>3.6</v>
      </c>
      <c r="J61" s="213" t="s">
        <v>475</v>
      </c>
      <c r="K61" s="237"/>
    </row>
    <row r="62" spans="1:11" ht="18.75" x14ac:dyDescent="0.3">
      <c r="A62" s="465" t="s">
        <v>25</v>
      </c>
      <c r="B62" s="466"/>
      <c r="C62" s="466"/>
      <c r="D62" s="466"/>
      <c r="E62" s="466"/>
      <c r="F62" s="466"/>
      <c r="G62" s="466"/>
      <c r="H62" s="466"/>
      <c r="I62" s="467"/>
      <c r="J62" s="201" t="str">
        <f>IFERROR(VLOOKUP(O62,Реестр!#REF!,3,0)*Q62/P62,"")</f>
        <v/>
      </c>
      <c r="K62" s="237"/>
    </row>
    <row r="63" spans="1:11" s="234" customFormat="1" ht="18.75" x14ac:dyDescent="0.25">
      <c r="A63" s="198">
        <v>14.01</v>
      </c>
      <c r="B63" s="196">
        <v>6.2079999999999993</v>
      </c>
      <c r="C63" s="196">
        <v>12.072000000000001</v>
      </c>
      <c r="D63" s="196">
        <v>117.68388800000001</v>
      </c>
      <c r="E63" s="197" t="s">
        <v>628</v>
      </c>
      <c r="F63" s="198" t="s">
        <v>629</v>
      </c>
      <c r="G63" s="199" t="str">
        <f>IFERROR(VLOOKUP(F63,[2]Реестр!A:K,2,0),"")</f>
        <v/>
      </c>
      <c r="H63" s="197">
        <v>100</v>
      </c>
      <c r="I63" s="236">
        <v>27.91</v>
      </c>
      <c r="J63" s="239" t="s">
        <v>538</v>
      </c>
      <c r="K63" s="240"/>
    </row>
    <row r="64" spans="1:11" ht="18.75" x14ac:dyDescent="0.3">
      <c r="A64" s="196">
        <v>8.9166666666666661</v>
      </c>
      <c r="B64" s="196">
        <v>7.75</v>
      </c>
      <c r="C64" s="196">
        <v>19.5</v>
      </c>
      <c r="D64" s="196">
        <v>185</v>
      </c>
      <c r="E64" s="197" t="s">
        <v>213</v>
      </c>
      <c r="F64" s="198" t="s">
        <v>212</v>
      </c>
      <c r="G64" s="199" t="str">
        <f>IFERROR(VLOOKUP(F64,[2]Реестр!A:K,2,0),"")</f>
        <v>300</v>
      </c>
      <c r="H64" s="200">
        <v>250</v>
      </c>
      <c r="I64" s="203">
        <v>42</v>
      </c>
      <c r="J64" s="213" t="s">
        <v>478</v>
      </c>
      <c r="K64" s="237"/>
    </row>
    <row r="65" spans="1:12" ht="18.75" x14ac:dyDescent="0.3">
      <c r="A65" s="196">
        <v>21.712499999999999</v>
      </c>
      <c r="B65" s="196">
        <v>11.317500000000001</v>
      </c>
      <c r="C65" s="196">
        <v>38.486249999999998</v>
      </c>
      <c r="D65" s="196">
        <v>342.65249999999997</v>
      </c>
      <c r="E65" s="197" t="s">
        <v>630</v>
      </c>
      <c r="F65" s="198" t="s">
        <v>631</v>
      </c>
      <c r="G65" s="199" t="str">
        <f>IFERROR(VLOOKUP(F65,[2]Реестр!A:K,2,0),"")</f>
        <v/>
      </c>
      <c r="H65" s="200">
        <v>250</v>
      </c>
      <c r="I65" s="200">
        <v>109.55</v>
      </c>
      <c r="J65" s="213" t="s">
        <v>537</v>
      </c>
      <c r="K65" s="237"/>
    </row>
    <row r="66" spans="1:12" ht="18.75" x14ac:dyDescent="0.3">
      <c r="A66" s="196">
        <v>0.2</v>
      </c>
      <c r="B66" s="196">
        <v>0</v>
      </c>
      <c r="C66" s="196">
        <v>13.7</v>
      </c>
      <c r="D66" s="196">
        <v>53</v>
      </c>
      <c r="E66" s="197" t="s">
        <v>353</v>
      </c>
      <c r="F66" s="198" t="s">
        <v>499</v>
      </c>
      <c r="G66" s="199" t="str">
        <f>IFERROR(VLOOKUP(F66,[2]Реестр!A:K,2,0),"")</f>
        <v>200</v>
      </c>
      <c r="H66" s="200">
        <v>200</v>
      </c>
      <c r="I66" s="203">
        <v>4.38</v>
      </c>
      <c r="J66" s="213" t="s">
        <v>29</v>
      </c>
      <c r="K66" s="237"/>
    </row>
    <row r="67" spans="1:12" ht="18.75" x14ac:dyDescent="0.3">
      <c r="A67" s="196">
        <v>3.3</v>
      </c>
      <c r="B67" s="196">
        <v>0.3</v>
      </c>
      <c r="C67" s="196">
        <v>23.4</v>
      </c>
      <c r="D67" s="196">
        <v>112</v>
      </c>
      <c r="E67" s="197" t="s">
        <v>471</v>
      </c>
      <c r="F67" s="204" t="s">
        <v>66</v>
      </c>
      <c r="G67" s="199" t="str">
        <f>IFERROR(VLOOKUP(F67,[2]Реестр!A:K,2,0),"")</f>
        <v>100</v>
      </c>
      <c r="H67" s="200">
        <v>50</v>
      </c>
      <c r="I67" s="203">
        <v>4.5</v>
      </c>
      <c r="J67" s="213" t="s">
        <v>479</v>
      </c>
      <c r="K67" s="208"/>
    </row>
    <row r="68" spans="1:12" ht="18.75" x14ac:dyDescent="0.3">
      <c r="A68" s="196">
        <v>3.3</v>
      </c>
      <c r="B68" s="196">
        <v>0.6</v>
      </c>
      <c r="C68" s="196">
        <v>16.7</v>
      </c>
      <c r="D68" s="196">
        <v>96.5</v>
      </c>
      <c r="E68" s="197" t="s">
        <v>471</v>
      </c>
      <c r="F68" s="204" t="s">
        <v>65</v>
      </c>
      <c r="G68" s="199" t="str">
        <f>IFERROR(VLOOKUP(F68,[2]Реестр!A:K,2,0),"")</f>
        <v>100</v>
      </c>
      <c r="H68" s="200">
        <v>50</v>
      </c>
      <c r="I68" s="203">
        <v>4.5</v>
      </c>
      <c r="J68" s="213" t="s">
        <v>23</v>
      </c>
    </row>
    <row r="69" spans="1:12" ht="18.75" x14ac:dyDescent="0.3">
      <c r="A69" s="196"/>
      <c r="B69" s="196"/>
      <c r="C69" s="196"/>
      <c r="D69" s="196"/>
      <c r="E69" s="214"/>
      <c r="F69" s="204"/>
      <c r="G69" s="199"/>
      <c r="H69" s="200"/>
      <c r="I69" s="203"/>
      <c r="J69" s="213" t="s">
        <v>540</v>
      </c>
    </row>
    <row r="70" spans="1:12" ht="18" customHeight="1" x14ac:dyDescent="0.3">
      <c r="A70" s="464" t="s">
        <v>16</v>
      </c>
      <c r="B70" s="464"/>
      <c r="C70" s="464"/>
      <c r="D70" s="464"/>
      <c r="E70" s="464"/>
      <c r="F70" s="464"/>
      <c r="G70" s="206"/>
      <c r="H70" s="206"/>
      <c r="I70" s="207">
        <f>SUM(I57:I61)+SUM(I63:I69)</f>
        <v>321.39999999999998</v>
      </c>
      <c r="J70" s="201">
        <v>246.31</v>
      </c>
      <c r="K70" s="208">
        <f>J70-I70</f>
        <v>-75.089999999999975</v>
      </c>
    </row>
    <row r="71" spans="1:12" ht="18.75" x14ac:dyDescent="0.3">
      <c r="A71" s="465" t="s">
        <v>34</v>
      </c>
      <c r="B71" s="466"/>
      <c r="C71" s="466"/>
      <c r="D71" s="466"/>
      <c r="E71" s="466"/>
      <c r="F71" s="466"/>
      <c r="G71" s="466"/>
      <c r="H71" s="466"/>
      <c r="I71" s="467"/>
      <c r="J71" s="206"/>
      <c r="K71" s="208"/>
    </row>
    <row r="72" spans="1:12" ht="18.75" x14ac:dyDescent="0.25">
      <c r="A72" s="209">
        <v>20.9</v>
      </c>
      <c r="B72" s="209">
        <v>3.6</v>
      </c>
      <c r="C72" s="209">
        <v>6.6</v>
      </c>
      <c r="D72" s="209">
        <v>114</v>
      </c>
      <c r="E72" s="210" t="s">
        <v>626</v>
      </c>
      <c r="F72" s="223" t="s">
        <v>627</v>
      </c>
      <c r="G72" s="211" t="str">
        <f>IFERROR(VLOOKUP(F72,[1]Реестр!A:K,2,0),"")</f>
        <v/>
      </c>
      <c r="H72" s="210">
        <v>30</v>
      </c>
      <c r="I72" s="230">
        <v>7.43</v>
      </c>
    </row>
    <row r="73" spans="1:12" ht="18.75" x14ac:dyDescent="0.3">
      <c r="A73" s="196">
        <v>21.712499999999999</v>
      </c>
      <c r="B73" s="196">
        <v>11.317500000000001</v>
      </c>
      <c r="C73" s="196">
        <v>38.486249999999998</v>
      </c>
      <c r="D73" s="196">
        <v>342.65249999999997</v>
      </c>
      <c r="E73" s="197" t="s">
        <v>630</v>
      </c>
      <c r="F73" s="198" t="s">
        <v>631</v>
      </c>
      <c r="G73" s="199" t="str">
        <f>IFERROR(VLOOKUP(F73,[2]Реестр!A:K,2,0),"")</f>
        <v/>
      </c>
      <c r="H73" s="200">
        <v>250</v>
      </c>
      <c r="I73" s="200">
        <v>109.55</v>
      </c>
    </row>
    <row r="74" spans="1:12" ht="18.75" x14ac:dyDescent="0.3">
      <c r="A74" s="196">
        <v>0.2</v>
      </c>
      <c r="B74" s="196">
        <v>0</v>
      </c>
      <c r="C74" s="196">
        <v>13.7</v>
      </c>
      <c r="D74" s="196">
        <v>53</v>
      </c>
      <c r="E74" s="197" t="s">
        <v>353</v>
      </c>
      <c r="F74" s="198" t="s">
        <v>499</v>
      </c>
      <c r="G74" s="199" t="str">
        <f>IFERROR(VLOOKUP(F74,[2]Реестр!A:K,2,0),"")</f>
        <v>200</v>
      </c>
      <c r="H74" s="200">
        <v>200</v>
      </c>
      <c r="I74" s="203">
        <v>4.38</v>
      </c>
    </row>
    <row r="75" spans="1:12" ht="18.75" x14ac:dyDescent="0.3">
      <c r="A75" s="196">
        <v>2.64</v>
      </c>
      <c r="B75" s="196">
        <v>0.24</v>
      </c>
      <c r="C75" s="196">
        <v>18.72</v>
      </c>
      <c r="D75" s="196">
        <v>89.6</v>
      </c>
      <c r="E75" s="197" t="s">
        <v>471</v>
      </c>
      <c r="F75" s="204" t="s">
        <v>66</v>
      </c>
      <c r="G75" s="199" t="str">
        <f>IFERROR(VLOOKUP(F75,[2]Реестр!A:K,2,0),"")</f>
        <v>100</v>
      </c>
      <c r="H75" s="200">
        <v>40</v>
      </c>
      <c r="I75" s="203">
        <v>3.6</v>
      </c>
    </row>
    <row r="76" spans="1:12" ht="18.75" x14ac:dyDescent="0.3">
      <c r="A76" s="196">
        <v>2.64</v>
      </c>
      <c r="B76" s="196">
        <v>0.48</v>
      </c>
      <c r="C76" s="196">
        <v>13.36</v>
      </c>
      <c r="D76" s="196">
        <v>77.2</v>
      </c>
      <c r="E76" s="197" t="s">
        <v>471</v>
      </c>
      <c r="F76" s="204" t="s">
        <v>65</v>
      </c>
      <c r="G76" s="199" t="str">
        <f>IFERROR(VLOOKUP(F76,[2]Реестр!A:K,2,0),"")</f>
        <v>100</v>
      </c>
      <c r="H76" s="200">
        <v>40</v>
      </c>
      <c r="I76" s="203">
        <v>3.6</v>
      </c>
    </row>
    <row r="77" spans="1:12" ht="18.75" x14ac:dyDescent="0.3">
      <c r="A77" s="196"/>
      <c r="B77" s="196"/>
      <c r="C77" s="196"/>
      <c r="D77" s="196"/>
      <c r="E77" s="197"/>
      <c r="F77" s="204"/>
      <c r="G77" s="199"/>
      <c r="H77" s="200"/>
      <c r="I77" s="203"/>
    </row>
    <row r="78" spans="1:12" ht="18.75" x14ac:dyDescent="0.3">
      <c r="A78" s="453" t="s">
        <v>16</v>
      </c>
      <c r="B78" s="454"/>
      <c r="C78" s="454"/>
      <c r="D78" s="454"/>
      <c r="E78" s="454"/>
      <c r="F78" s="455"/>
      <c r="G78" s="205"/>
      <c r="H78" s="206"/>
      <c r="I78" s="207">
        <f>SUM(I72:I77)</f>
        <v>128.55999999999997</v>
      </c>
      <c r="J78" s="215">
        <v>98.52</v>
      </c>
      <c r="L78" s="208">
        <f>J78-I78</f>
        <v>-30.039999999999978</v>
      </c>
    </row>
    <row r="79" spans="1:12" ht="18.75" hidden="1" x14ac:dyDescent="0.25">
      <c r="A79" s="477" t="s">
        <v>35</v>
      </c>
      <c r="B79" s="478"/>
      <c r="C79" s="478"/>
      <c r="D79" s="478"/>
      <c r="E79" s="478"/>
      <c r="F79" s="478"/>
      <c r="G79" s="478"/>
      <c r="H79" s="478"/>
      <c r="I79" s="479"/>
    </row>
    <row r="80" spans="1:12" ht="18.75" hidden="1" x14ac:dyDescent="0.3">
      <c r="A80" s="219">
        <v>7.7</v>
      </c>
      <c r="B80" s="219">
        <v>7.42</v>
      </c>
      <c r="C80" s="219">
        <v>32.090000000000003</v>
      </c>
      <c r="D80" s="219">
        <v>225.88</v>
      </c>
      <c r="E80" s="261" t="s">
        <v>408</v>
      </c>
      <c r="F80" s="216" t="s">
        <v>605</v>
      </c>
      <c r="G80" s="211" t="str">
        <f>IFERROR(VLOOKUP(F80,[2]Реестр!A:K,2,0),"")</f>
        <v/>
      </c>
      <c r="H80" s="206">
        <v>100</v>
      </c>
      <c r="I80" s="207">
        <v>42</v>
      </c>
      <c r="K80" s="208"/>
    </row>
    <row r="81" spans="1:12" ht="18.75" hidden="1" x14ac:dyDescent="0.3">
      <c r="A81" s="453" t="s">
        <v>16</v>
      </c>
      <c r="B81" s="454"/>
      <c r="C81" s="454"/>
      <c r="D81" s="454"/>
      <c r="E81" s="454"/>
      <c r="F81" s="455"/>
      <c r="G81" s="205"/>
      <c r="H81" s="206"/>
      <c r="I81" s="207">
        <f>I80</f>
        <v>42</v>
      </c>
      <c r="J81" s="215">
        <v>29</v>
      </c>
    </row>
    <row r="82" spans="1:12" ht="18.75" hidden="1" x14ac:dyDescent="0.3">
      <c r="A82" s="465" t="s">
        <v>36</v>
      </c>
      <c r="B82" s="466"/>
      <c r="C82" s="466"/>
      <c r="D82" s="466"/>
      <c r="E82" s="466"/>
      <c r="F82" s="466"/>
      <c r="G82" s="466"/>
      <c r="H82" s="466"/>
      <c r="I82" s="467"/>
    </row>
    <row r="83" spans="1:12" ht="18.75" hidden="1" x14ac:dyDescent="0.3">
      <c r="A83" s="196">
        <v>8.9166666666666661</v>
      </c>
      <c r="B83" s="196">
        <v>7.75</v>
      </c>
      <c r="C83" s="196">
        <v>19.5</v>
      </c>
      <c r="D83" s="196">
        <v>185</v>
      </c>
      <c r="E83" s="197" t="s">
        <v>213</v>
      </c>
      <c r="F83" s="198" t="s">
        <v>212</v>
      </c>
      <c r="G83" s="211" t="str">
        <f>IFERROR(VLOOKUP(F83,[2]Реестр!A:K,2,0),"")</f>
        <v>300</v>
      </c>
      <c r="H83" s="206">
        <v>250</v>
      </c>
      <c r="I83" s="207">
        <v>42</v>
      </c>
    </row>
    <row r="84" spans="1:12" ht="18.75" hidden="1" x14ac:dyDescent="0.3">
      <c r="A84" s="453" t="s">
        <v>16</v>
      </c>
      <c r="B84" s="454"/>
      <c r="C84" s="454"/>
      <c r="D84" s="454"/>
      <c r="E84" s="454"/>
      <c r="F84" s="455"/>
      <c r="G84" s="205"/>
      <c r="H84" s="206"/>
      <c r="I84" s="207">
        <f>SUM(I83:I83)</f>
        <v>42</v>
      </c>
      <c r="J84" s="215">
        <v>27</v>
      </c>
    </row>
    <row r="85" spans="1:12" ht="18.75" hidden="1" x14ac:dyDescent="0.3">
      <c r="A85" s="465" t="s">
        <v>503</v>
      </c>
      <c r="B85" s="466"/>
      <c r="C85" s="466"/>
      <c r="D85" s="466"/>
      <c r="E85" s="466"/>
      <c r="F85" s="466"/>
      <c r="G85" s="466"/>
      <c r="H85" s="466"/>
      <c r="I85" s="467"/>
    </row>
    <row r="86" spans="1:12" s="234" customFormat="1" ht="27" hidden="1" customHeight="1" x14ac:dyDescent="0.25">
      <c r="A86" s="198">
        <v>14.01</v>
      </c>
      <c r="B86" s="196">
        <v>6.2079999999999993</v>
      </c>
      <c r="C86" s="196">
        <v>12.072000000000001</v>
      </c>
      <c r="D86" s="196">
        <v>117.68388800000001</v>
      </c>
      <c r="E86" s="197" t="s">
        <v>628</v>
      </c>
      <c r="F86" s="198" t="s">
        <v>629</v>
      </c>
      <c r="G86" s="199" t="str">
        <f>IFERROR(VLOOKUP(F86,[2]Реестр!A:K,2,0),"")</f>
        <v/>
      </c>
      <c r="H86" s="197">
        <v>100</v>
      </c>
      <c r="I86" s="236">
        <v>27.91</v>
      </c>
      <c r="J86" s="268"/>
    </row>
    <row r="87" spans="1:12" ht="18.75" hidden="1" x14ac:dyDescent="0.3">
      <c r="A87" s="196">
        <v>8.9166666666666661</v>
      </c>
      <c r="B87" s="196">
        <v>7.75</v>
      </c>
      <c r="C87" s="196">
        <v>19.5</v>
      </c>
      <c r="D87" s="196">
        <v>185</v>
      </c>
      <c r="E87" s="197" t="s">
        <v>213</v>
      </c>
      <c r="F87" s="198" t="s">
        <v>212</v>
      </c>
      <c r="G87" s="199" t="str">
        <f>IFERROR(VLOOKUP(F87,[2]Реестр!A:K,2,0),"")</f>
        <v>300</v>
      </c>
      <c r="H87" s="200">
        <v>250</v>
      </c>
      <c r="I87" s="203">
        <v>42</v>
      </c>
    </row>
    <row r="88" spans="1:12" ht="18.75" hidden="1" x14ac:dyDescent="0.3">
      <c r="A88" s="196">
        <v>21.712499999999999</v>
      </c>
      <c r="B88" s="196">
        <v>11.317500000000001</v>
      </c>
      <c r="C88" s="196">
        <v>38.486249999999998</v>
      </c>
      <c r="D88" s="196">
        <v>342.65249999999997</v>
      </c>
      <c r="E88" s="197" t="s">
        <v>630</v>
      </c>
      <c r="F88" s="198" t="s">
        <v>631</v>
      </c>
      <c r="G88" s="199" t="str">
        <f>IFERROR(VLOOKUP(F88,[2]Реестр!A:K,2,0),"")</f>
        <v/>
      </c>
      <c r="H88" s="200">
        <v>250</v>
      </c>
      <c r="I88" s="200">
        <v>109.55</v>
      </c>
    </row>
    <row r="89" spans="1:12" ht="18.75" hidden="1" x14ac:dyDescent="0.3">
      <c r="A89" s="196">
        <v>0.2</v>
      </c>
      <c r="B89" s="196">
        <v>0</v>
      </c>
      <c r="C89" s="196">
        <v>13.7</v>
      </c>
      <c r="D89" s="196">
        <v>53</v>
      </c>
      <c r="E89" s="197" t="s">
        <v>353</v>
      </c>
      <c r="F89" s="198" t="s">
        <v>499</v>
      </c>
      <c r="G89" s="199" t="str">
        <f>IFERROR(VLOOKUP(F89,[2]Реестр!A:K,2,0),"")</f>
        <v>200</v>
      </c>
      <c r="H89" s="200">
        <v>200</v>
      </c>
      <c r="I89" s="203">
        <v>4.38</v>
      </c>
    </row>
    <row r="90" spans="1:12" ht="18.75" hidden="1" x14ac:dyDescent="0.3">
      <c r="A90" s="196">
        <v>3.3</v>
      </c>
      <c r="B90" s="196">
        <v>0.3</v>
      </c>
      <c r="C90" s="196">
        <v>23.4</v>
      </c>
      <c r="D90" s="196">
        <v>112</v>
      </c>
      <c r="E90" s="197" t="s">
        <v>471</v>
      </c>
      <c r="F90" s="204" t="s">
        <v>66</v>
      </c>
      <c r="G90" s="199" t="str">
        <f>IFERROR(VLOOKUP(F90,[2]Реестр!A:K,2,0),"")</f>
        <v>100</v>
      </c>
      <c r="H90" s="200">
        <v>50</v>
      </c>
      <c r="I90" s="203">
        <v>4.5</v>
      </c>
    </row>
    <row r="91" spans="1:12" ht="18.75" hidden="1" x14ac:dyDescent="0.3">
      <c r="A91" s="196">
        <v>3.3</v>
      </c>
      <c r="B91" s="196">
        <v>0.6</v>
      </c>
      <c r="C91" s="196">
        <v>16.7</v>
      </c>
      <c r="D91" s="196">
        <v>96.5</v>
      </c>
      <c r="E91" s="197" t="s">
        <v>471</v>
      </c>
      <c r="F91" s="204" t="s">
        <v>65</v>
      </c>
      <c r="G91" s="199" t="str">
        <f>IFERROR(VLOOKUP(F91,[2]Реестр!A:K,2,0),"")</f>
        <v>100</v>
      </c>
      <c r="H91" s="200">
        <v>50</v>
      </c>
      <c r="I91" s="203">
        <v>4.5</v>
      </c>
    </row>
    <row r="92" spans="1:12" ht="18.75" hidden="1" x14ac:dyDescent="0.3">
      <c r="A92" s="196"/>
      <c r="B92" s="196"/>
      <c r="C92" s="196"/>
      <c r="D92" s="196"/>
      <c r="E92" s="214"/>
      <c r="F92" s="204"/>
      <c r="G92" s="199"/>
      <c r="H92" s="200"/>
      <c r="I92" s="203"/>
      <c r="K92" s="208"/>
    </row>
    <row r="93" spans="1:12" ht="18.75" hidden="1" x14ac:dyDescent="0.3">
      <c r="A93" s="464" t="s">
        <v>16</v>
      </c>
      <c r="B93" s="464"/>
      <c r="C93" s="464"/>
      <c r="D93" s="464"/>
      <c r="E93" s="464"/>
      <c r="F93" s="464"/>
      <c r="G93" s="205"/>
      <c r="H93" s="206"/>
      <c r="I93" s="207">
        <f>SUM(I86:I92)</f>
        <v>192.83999999999997</v>
      </c>
      <c r="J93" s="215">
        <v>147.79</v>
      </c>
      <c r="L93" s="208">
        <f>J93-I93</f>
        <v>-45.049999999999983</v>
      </c>
    </row>
    <row r="94" spans="1:12" ht="18.75" hidden="1" x14ac:dyDescent="0.3">
      <c r="A94" s="462" t="s">
        <v>544</v>
      </c>
      <c r="B94" s="462"/>
      <c r="C94" s="462"/>
      <c r="D94" s="462"/>
      <c r="E94" s="462"/>
      <c r="F94" s="462"/>
      <c r="G94" s="462"/>
      <c r="H94" s="462"/>
      <c r="I94" s="462"/>
      <c r="K94" s="208"/>
    </row>
    <row r="95" spans="1:12" ht="18.75" hidden="1" customHeight="1" x14ac:dyDescent="0.25">
      <c r="A95" s="209">
        <f>IFERROR(VLOOKUP(F95,[1]Реестр!A:K,3,0)*H95/G95,"")</f>
        <v>5.08</v>
      </c>
      <c r="B95" s="209">
        <f>IFERROR(VLOOKUP(F95,[1]Реестр!A:K,4,0)*H95/G95,"")</f>
        <v>11.55</v>
      </c>
      <c r="C95" s="209">
        <f>IFERROR(VLOOKUP(F95,[1]Реестр!A:K,5,0)*H95/G95,"")</f>
        <v>9.9700000000000006</v>
      </c>
      <c r="D95" s="209">
        <f>IFERROR(VLOOKUP(F95,[1]Реестр!A:K,6,0)*H95/G95,"")</f>
        <v>164.15</v>
      </c>
      <c r="E95" s="210" t="str">
        <f>IFERROR(VLOOKUP(F95,[1]Реестр!A:K,11,0),"")</f>
        <v>1*51</v>
      </c>
      <c r="F95" s="216" t="s">
        <v>91</v>
      </c>
      <c r="G95" s="211" t="str">
        <f>IFERROR(VLOOKUP(F95,[1]Реестр!A:K,2,0),"")</f>
        <v>45</v>
      </c>
      <c r="H95" s="143">
        <v>45</v>
      </c>
      <c r="I95" s="450">
        <v>108.64</v>
      </c>
      <c r="K95" s="208"/>
    </row>
    <row r="96" spans="1:12" ht="33.75" hidden="1" customHeight="1" x14ac:dyDescent="0.25">
      <c r="A96" s="209">
        <f>IFERROR(VLOOKUP(F96,[1]Реестр!A:K,3,0)*H96/G96,"")</f>
        <v>6.3749999999999991</v>
      </c>
      <c r="B96" s="209">
        <f>IFERROR(VLOOKUP(F96,[1]Реестр!A:K,4,0)*H96/G96,"")</f>
        <v>5.7499999999999991</v>
      </c>
      <c r="C96" s="209">
        <f>IFERROR(VLOOKUP(F96,[1]Реестр!A:K,5,0)*H96/G96,"")</f>
        <v>0.375</v>
      </c>
      <c r="D96" s="209">
        <f>IFERROR(VLOOKUP(F96,[1]Реестр!A:K,6,0)*H96/G96,"")</f>
        <v>78.75</v>
      </c>
      <c r="E96" s="210" t="str">
        <f>IFERROR(VLOOKUP(F96,[1]Реестр!A:K,11,0),"")</f>
        <v>4*57</v>
      </c>
      <c r="F96" s="216" t="s">
        <v>162</v>
      </c>
      <c r="G96" s="211" t="str">
        <f>IFERROR(VLOOKUP(F96,[1]Реестр!A:K,2,0),"")</f>
        <v>40</v>
      </c>
      <c r="H96" s="143">
        <v>50</v>
      </c>
      <c r="I96" s="451"/>
      <c r="K96" s="208"/>
    </row>
    <row r="97" spans="1:12" ht="45" hidden="1" customHeight="1" x14ac:dyDescent="0.25">
      <c r="A97" s="241">
        <v>8.1999999999999993</v>
      </c>
      <c r="B97" s="241">
        <v>8.4</v>
      </c>
      <c r="C97" s="241">
        <v>36.200000000000003</v>
      </c>
      <c r="D97" s="241">
        <v>244</v>
      </c>
      <c r="E97" s="242" t="str">
        <f>"2/66 (МР 2.4.0162-19. 2.4.)"</f>
        <v>2/66 (МР 2.4.0162-19. 2.4.)</v>
      </c>
      <c r="F97" s="228" t="s">
        <v>546</v>
      </c>
      <c r="G97" s="211" t="str">
        <f>IFERROR(VLOOKUP(F97,[1]Реестр!A:K,2,0),"")</f>
        <v>250</v>
      </c>
      <c r="H97" s="143">
        <v>200</v>
      </c>
      <c r="I97" s="451"/>
      <c r="K97" s="208"/>
    </row>
    <row r="98" spans="1:12" ht="30" hidden="1" customHeight="1" x14ac:dyDescent="0.25">
      <c r="A98" s="243">
        <v>4.03</v>
      </c>
      <c r="B98" s="243">
        <v>3.19</v>
      </c>
      <c r="C98" s="243">
        <v>6.87</v>
      </c>
      <c r="D98" s="243">
        <v>68.87885</v>
      </c>
      <c r="E98" s="242" t="str">
        <f>"11/72 (2014 № 11.8)"</f>
        <v>11/72 (2014 № 11.8)</v>
      </c>
      <c r="F98" s="228" t="s">
        <v>564</v>
      </c>
      <c r="G98" s="211" t="str">
        <f>IFERROR(VLOOKUP(F98,[1]Реестр!A:K,2,0),"")</f>
        <v/>
      </c>
      <c r="H98" s="143" t="str">
        <f>"200"</f>
        <v>200</v>
      </c>
      <c r="I98" s="451"/>
      <c r="K98" s="208"/>
    </row>
    <row r="99" spans="1:12" ht="18.75" hidden="1" customHeight="1" x14ac:dyDescent="0.25">
      <c r="A99" s="209">
        <f>IFERROR(VLOOKUP(F99,[1]Реестр!A:K,3,0)*H99/G99,"")</f>
        <v>1.32</v>
      </c>
      <c r="B99" s="209">
        <f>IFERROR(VLOOKUP(F99,[1]Реестр!A:K,4,0)*H99/G99,"")</f>
        <v>0.24</v>
      </c>
      <c r="C99" s="209">
        <f>IFERROR(VLOOKUP(F99,[1]Реестр!A:K,5,0)*H99/G99,"")</f>
        <v>6.68</v>
      </c>
      <c r="D99" s="209">
        <f>IFERROR(VLOOKUP(F99,[1]Реестр!A:K,6,0)*H99/G99,"")</f>
        <v>38.6</v>
      </c>
      <c r="E99" s="210" t="str">
        <f>IFERROR(VLOOKUP(F99,[1]Реестр!A:K,11,0),"")</f>
        <v>-</v>
      </c>
      <c r="F99" s="217" t="s">
        <v>65</v>
      </c>
      <c r="G99" s="211" t="str">
        <f>IFERROR(VLOOKUP(F99,[1]Реестр!A:K,2,0),"")</f>
        <v>100</v>
      </c>
      <c r="H99" s="229" t="str">
        <f>"20"</f>
        <v>20</v>
      </c>
      <c r="I99" s="452"/>
      <c r="K99" s="208"/>
    </row>
    <row r="100" spans="1:12" ht="18.75" hidden="1" x14ac:dyDescent="0.3">
      <c r="A100" s="464" t="s">
        <v>16</v>
      </c>
      <c r="B100" s="464"/>
      <c r="C100" s="464"/>
      <c r="D100" s="464"/>
      <c r="E100" s="464"/>
      <c r="F100" s="464"/>
      <c r="G100" s="205"/>
      <c r="H100" s="206"/>
      <c r="I100" s="207">
        <f>SUM(I95:I99)</f>
        <v>108.64</v>
      </c>
      <c r="K100" s="208"/>
    </row>
    <row r="101" spans="1:12" ht="18.75" hidden="1" x14ac:dyDescent="0.3">
      <c r="A101" s="462" t="s">
        <v>545</v>
      </c>
      <c r="B101" s="462"/>
      <c r="C101" s="462"/>
      <c r="D101" s="462"/>
      <c r="E101" s="462"/>
      <c r="F101" s="462"/>
      <c r="G101" s="462"/>
      <c r="H101" s="462"/>
      <c r="I101" s="462"/>
      <c r="J101" s="215">
        <v>85.2</v>
      </c>
      <c r="K101" s="208"/>
      <c r="L101" s="208">
        <f>J101-I101</f>
        <v>85.2</v>
      </c>
    </row>
    <row r="102" spans="1:12" ht="18.75" hidden="1" customHeight="1" x14ac:dyDescent="0.25">
      <c r="A102" s="209">
        <f>IFERROR(VLOOKUP(F102,[1]Реестр!A:K,3,0)*H102/G102,"")</f>
        <v>6.3749999999999991</v>
      </c>
      <c r="B102" s="209">
        <f>IFERROR(VLOOKUP(F102,[1]Реестр!A:K,4,0)*H102/G102,"")</f>
        <v>5.7499999999999991</v>
      </c>
      <c r="C102" s="209">
        <f>IFERROR(VLOOKUP(F102,[1]Реестр!A:K,5,0)*H102/G102,"")</f>
        <v>0.375</v>
      </c>
      <c r="D102" s="209">
        <f>IFERROR(VLOOKUP(F102,[1]Реестр!A:K,6,0)*H102/G102,"")</f>
        <v>78.75</v>
      </c>
      <c r="E102" s="210" t="str">
        <f>IFERROR(VLOOKUP(F102,[1]Реестр!A:K,11,0),"")</f>
        <v>4*57</v>
      </c>
      <c r="F102" s="216" t="s">
        <v>162</v>
      </c>
      <c r="G102" s="211" t="str">
        <f>IFERROR(VLOOKUP(F102,[1]Реестр!A:K,2,0),"")</f>
        <v>40</v>
      </c>
      <c r="H102" s="143">
        <v>50</v>
      </c>
      <c r="I102" s="450">
        <v>108.64</v>
      </c>
      <c r="K102" s="208"/>
    </row>
    <row r="103" spans="1:12" ht="18.75" hidden="1" customHeight="1" x14ac:dyDescent="0.25">
      <c r="A103" s="209">
        <v>7.23</v>
      </c>
      <c r="B103" s="243">
        <v>12.83</v>
      </c>
      <c r="C103" s="243">
        <v>34.92</v>
      </c>
      <c r="D103" s="243">
        <v>275.69060599999995</v>
      </c>
      <c r="E103" s="242" t="str">
        <f>"2/73 (МР 2.4.0162-19 № 54-29к-2020)"</f>
        <v>2/73 (МР 2.4.0162-19 № 54-29к-2020)</v>
      </c>
      <c r="F103" s="228" t="s">
        <v>606</v>
      </c>
      <c r="G103" s="211" t="str">
        <f>IFERROR(VLOOKUP(F103,[1]Реестр!A:K,2,0),"")</f>
        <v/>
      </c>
      <c r="H103" s="143">
        <v>200</v>
      </c>
      <c r="I103" s="451"/>
      <c r="K103" s="208"/>
    </row>
    <row r="104" spans="1:12" ht="18.75" hidden="1" customHeight="1" x14ac:dyDescent="0.25">
      <c r="A104" s="209">
        <f>IFERROR(VLOOKUP(F104,[1]Реестр!A:K,3,0)*H104/G104,"")</f>
        <v>0.17499999999999999</v>
      </c>
      <c r="B104" s="209">
        <f>IFERROR(VLOOKUP(F104,[1]Реестр!A:K,4,0)*H104/G104,"")</f>
        <v>0.105</v>
      </c>
      <c r="C104" s="209">
        <f>IFERROR(VLOOKUP(F104,[1]Реестр!A:K,5,0)*H104/G104,"")</f>
        <v>10.01</v>
      </c>
      <c r="D104" s="209">
        <f>IFERROR(VLOOKUP(F104,[1]Реестр!A:K,6,0)*H104/G104,"")</f>
        <v>40.6</v>
      </c>
      <c r="E104" s="210" t="str">
        <f>IFERROR(VLOOKUP(F104,[1]Реестр!A:K,11,0),"")</f>
        <v>12*2</v>
      </c>
      <c r="F104" s="216" t="s">
        <v>371</v>
      </c>
      <c r="G104" s="211" t="str">
        <f>IFERROR(VLOOKUP(F104,[1]Реестр!A:K,2,0),"")</f>
        <v>100</v>
      </c>
      <c r="H104" s="143">
        <v>35</v>
      </c>
      <c r="I104" s="451"/>
      <c r="K104" s="208"/>
    </row>
    <row r="105" spans="1:12" ht="18.75" hidden="1" customHeight="1" x14ac:dyDescent="0.25">
      <c r="A105" s="243">
        <v>0.18</v>
      </c>
      <c r="B105" s="243">
        <v>0.04</v>
      </c>
      <c r="C105" s="243">
        <v>13.75</v>
      </c>
      <c r="D105" s="243">
        <v>53.136642799999997</v>
      </c>
      <c r="E105" s="210" t="s">
        <v>353</v>
      </c>
      <c r="F105" s="228" t="s">
        <v>563</v>
      </c>
      <c r="G105" s="211" t="str">
        <f>IFERROR(VLOOKUP(F105,[1]Реестр!A:K,2,0),"")</f>
        <v/>
      </c>
      <c r="H105" s="143" t="str">
        <f>"200"</f>
        <v>200</v>
      </c>
      <c r="I105" s="451"/>
      <c r="K105" s="208"/>
    </row>
    <row r="106" spans="1:12" ht="18.75" hidden="1" customHeight="1" x14ac:dyDescent="0.25">
      <c r="A106" s="209">
        <f>IFERROR(VLOOKUP(F106,[1]Реестр!A:K,3,0)*H106/G106,"")</f>
        <v>1.32</v>
      </c>
      <c r="B106" s="209">
        <f>IFERROR(VLOOKUP(F106,[1]Реестр!A:K,4,0)*H106/G106,"")</f>
        <v>0.24</v>
      </c>
      <c r="C106" s="209">
        <f>IFERROR(VLOOKUP(F106,[1]Реестр!A:K,5,0)*H106/G106,"")</f>
        <v>6.68</v>
      </c>
      <c r="D106" s="209">
        <f>IFERROR(VLOOKUP(F106,[1]Реестр!A:K,6,0)*H106/G106,"")</f>
        <v>38.6</v>
      </c>
      <c r="E106" s="210" t="str">
        <f>IFERROR(VLOOKUP(F106,[1]Реестр!A:K,11,0),"")</f>
        <v>-</v>
      </c>
      <c r="F106" s="217" t="s">
        <v>65</v>
      </c>
      <c r="G106" s="211" t="str">
        <f>IFERROR(VLOOKUP(F106,[1]Реестр!A:K,2,0),"")</f>
        <v>100</v>
      </c>
      <c r="H106" s="229" t="str">
        <f>"20"</f>
        <v>20</v>
      </c>
      <c r="I106" s="451"/>
      <c r="K106" s="208"/>
    </row>
    <row r="107" spans="1:12" ht="18.75" hidden="1" customHeight="1" x14ac:dyDescent="0.3">
      <c r="A107" s="209">
        <f>IFERROR(VLOOKUP(F107,[1]Реестр!A:K,3,0)*H107/G107,"")</f>
        <v>1.32</v>
      </c>
      <c r="B107" s="209">
        <f>IFERROR(VLOOKUP(F107,[1]Реестр!A:K,4,0)*H107/G107,"")</f>
        <v>0.12</v>
      </c>
      <c r="C107" s="209">
        <f>IFERROR(VLOOKUP(F107,[1]Реестр!A:K,5,0)*H107/G107,"")</f>
        <v>9.36</v>
      </c>
      <c r="D107" s="209">
        <f>IFERROR(VLOOKUP(F107,[1]Реестр!A:K,6,0)*H107/G107,"")</f>
        <v>44.8</v>
      </c>
      <c r="E107" s="210" t="str">
        <f>IFERROR(VLOOKUP(F107,[1]Реестр!A:K,11,0),"")</f>
        <v>-</v>
      </c>
      <c r="F107" s="217" t="s">
        <v>66</v>
      </c>
      <c r="G107" s="211" t="str">
        <f>IFERROR(VLOOKUP(F107,[1]Реестр!A:K,2,0),"")</f>
        <v>100</v>
      </c>
      <c r="H107" s="206">
        <v>20</v>
      </c>
      <c r="I107" s="452"/>
      <c r="K107" s="208"/>
    </row>
    <row r="108" spans="1:12" ht="18.75" hidden="1" x14ac:dyDescent="0.3">
      <c r="A108" s="464" t="s">
        <v>16</v>
      </c>
      <c r="B108" s="464"/>
      <c r="C108" s="464"/>
      <c r="D108" s="464"/>
      <c r="E108" s="464"/>
      <c r="F108" s="464"/>
      <c r="G108" s="205"/>
      <c r="H108" s="206"/>
      <c r="I108" s="207">
        <f>SUM(I102)</f>
        <v>108.64</v>
      </c>
      <c r="K108" s="208"/>
    </row>
    <row r="109" spans="1:12" ht="18.75" hidden="1" x14ac:dyDescent="0.3">
      <c r="A109" s="462" t="s">
        <v>566</v>
      </c>
      <c r="B109" s="462"/>
      <c r="C109" s="462"/>
      <c r="D109" s="462"/>
      <c r="E109" s="462"/>
      <c r="F109" s="462"/>
      <c r="G109" s="462"/>
      <c r="H109" s="462"/>
      <c r="I109" s="462"/>
      <c r="K109" s="208"/>
    </row>
    <row r="110" spans="1:12" ht="18.75" hidden="1" customHeight="1" x14ac:dyDescent="0.25">
      <c r="A110" s="198">
        <v>14.01</v>
      </c>
      <c r="B110" s="196">
        <v>6.2079999999999993</v>
      </c>
      <c r="C110" s="196">
        <v>12.072000000000001</v>
      </c>
      <c r="D110" s="196">
        <v>117.68388800000001</v>
      </c>
      <c r="E110" s="197" t="s">
        <v>628</v>
      </c>
      <c r="F110" s="198" t="s">
        <v>629</v>
      </c>
      <c r="G110" s="199" t="str">
        <f>IFERROR(VLOOKUP(F110,[2]Реестр!A:K,2,0),"")</f>
        <v/>
      </c>
      <c r="H110" s="244" t="s">
        <v>81</v>
      </c>
      <c r="I110" s="450">
        <v>162.94999999999999</v>
      </c>
      <c r="K110" s="208"/>
    </row>
    <row r="111" spans="1:12" ht="30" hidden="1" customHeight="1" x14ac:dyDescent="0.25">
      <c r="A111" s="244">
        <v>12.44</v>
      </c>
      <c r="B111" s="244">
        <v>7.77</v>
      </c>
      <c r="C111" s="244">
        <v>25.16</v>
      </c>
      <c r="D111" s="244">
        <v>208</v>
      </c>
      <c r="E111" s="245" t="str">
        <f>"6/57 (2004 № 139)"</f>
        <v>6/57 (2004 № 139)</v>
      </c>
      <c r="F111" s="245" t="s">
        <v>603</v>
      </c>
      <c r="G111" s="199" t="str">
        <f>IFERROR(VLOOKUP(F111,[2]Реестр!A:K,2,0),"")</f>
        <v/>
      </c>
      <c r="H111" s="248" t="str">
        <f>"250"</f>
        <v>250</v>
      </c>
      <c r="I111" s="451"/>
      <c r="K111" s="208"/>
    </row>
    <row r="112" spans="1:12" ht="18.75" hidden="1" customHeight="1" x14ac:dyDescent="0.25">
      <c r="A112" s="244">
        <v>15.55</v>
      </c>
      <c r="B112" s="244">
        <v>18.7</v>
      </c>
      <c r="C112" s="244">
        <v>44.29</v>
      </c>
      <c r="D112" s="244">
        <v>408.6</v>
      </c>
      <c r="E112" s="245" t="str">
        <f>"9/17"</f>
        <v>9/17</v>
      </c>
      <c r="F112" s="245" t="s">
        <v>631</v>
      </c>
      <c r="G112" s="199"/>
      <c r="H112" s="249">
        <v>200</v>
      </c>
      <c r="I112" s="451"/>
      <c r="K112" s="208"/>
    </row>
    <row r="113" spans="1:11" ht="18.75" hidden="1" customHeight="1" x14ac:dyDescent="0.25">
      <c r="A113" s="244">
        <v>0.18</v>
      </c>
      <c r="B113" s="244">
        <v>0.04</v>
      </c>
      <c r="C113" s="244">
        <v>13.75</v>
      </c>
      <c r="D113" s="244">
        <v>53.136642799999997</v>
      </c>
      <c r="E113" s="245" t="str">
        <f>"11/74"</f>
        <v>11/74</v>
      </c>
      <c r="F113" s="245" t="s">
        <v>632</v>
      </c>
      <c r="G113" s="199"/>
      <c r="H113" s="244" t="s">
        <v>118</v>
      </c>
      <c r="I113" s="451"/>
      <c r="K113" s="208"/>
    </row>
    <row r="114" spans="1:11" ht="18.75" hidden="1" customHeight="1" x14ac:dyDescent="0.25">
      <c r="A114" s="246">
        <v>2.64</v>
      </c>
      <c r="B114" s="246">
        <v>0.48</v>
      </c>
      <c r="C114" s="246">
        <v>16.68</v>
      </c>
      <c r="D114" s="246">
        <v>77.352000000000004</v>
      </c>
      <c r="E114" s="245" t="str">
        <f>"-"</f>
        <v>-</v>
      </c>
      <c r="F114" s="204" t="s">
        <v>66</v>
      </c>
      <c r="G114" s="199"/>
      <c r="H114" s="246" t="str">
        <f>"40"</f>
        <v>40</v>
      </c>
      <c r="I114" s="451"/>
      <c r="K114" s="208"/>
    </row>
    <row r="115" spans="1:11" ht="18.75" hidden="1" customHeight="1" x14ac:dyDescent="0.25">
      <c r="A115" s="246">
        <v>2.64</v>
      </c>
      <c r="B115" s="246">
        <v>0.48</v>
      </c>
      <c r="C115" s="246">
        <v>16.68</v>
      </c>
      <c r="D115" s="246">
        <v>77.352000000000004</v>
      </c>
      <c r="E115" s="247" t="str">
        <f>"-"</f>
        <v>-</v>
      </c>
      <c r="F115" s="204" t="s">
        <v>65</v>
      </c>
      <c r="G115" s="199" t="str">
        <f>IFERROR(VLOOKUP(F115,[2]Реестр!A:K,2,0),"")</f>
        <v>100</v>
      </c>
      <c r="H115" s="246" t="str">
        <f>"40"</f>
        <v>40</v>
      </c>
      <c r="I115" s="451"/>
      <c r="K115" s="208"/>
    </row>
    <row r="116" spans="1:11" ht="18.75" hidden="1" customHeight="1" x14ac:dyDescent="0.25">
      <c r="A116" s="241"/>
      <c r="B116" s="241"/>
      <c r="C116" s="241"/>
      <c r="D116" s="241"/>
      <c r="E116" s="265"/>
      <c r="F116" s="217"/>
      <c r="G116" s="211"/>
      <c r="H116" s="269"/>
      <c r="I116" s="451"/>
      <c r="K116" s="208"/>
    </row>
    <row r="117" spans="1:11" ht="18.75" hidden="1" x14ac:dyDescent="0.3">
      <c r="A117" s="464" t="s">
        <v>16</v>
      </c>
      <c r="B117" s="464"/>
      <c r="C117" s="464"/>
      <c r="D117" s="464"/>
      <c r="E117" s="464"/>
      <c r="F117" s="464"/>
      <c r="G117" s="205"/>
      <c r="H117" s="206"/>
      <c r="I117" s="207">
        <f>SUM(I110:I116)</f>
        <v>162.94999999999999</v>
      </c>
      <c r="K117" s="208"/>
    </row>
    <row r="118" spans="1:11" ht="18.75" hidden="1" x14ac:dyDescent="0.3">
      <c r="A118" s="462" t="s">
        <v>550</v>
      </c>
      <c r="B118" s="462"/>
      <c r="C118" s="462"/>
      <c r="D118" s="462"/>
      <c r="E118" s="462"/>
      <c r="F118" s="462"/>
      <c r="G118" s="462"/>
      <c r="H118" s="462"/>
      <c r="I118" s="462"/>
      <c r="K118" s="208"/>
    </row>
    <row r="119" spans="1:11" ht="31.5" hidden="1" customHeight="1" x14ac:dyDescent="0.25">
      <c r="A119" s="198">
        <v>14.01</v>
      </c>
      <c r="B119" s="196">
        <v>6.2079999999999993</v>
      </c>
      <c r="C119" s="196">
        <v>12.072000000000001</v>
      </c>
      <c r="D119" s="196">
        <v>117.68388800000001</v>
      </c>
      <c r="E119" s="197" t="s">
        <v>628</v>
      </c>
      <c r="F119" s="198" t="s">
        <v>629</v>
      </c>
      <c r="G119" s="199" t="str">
        <f>IFERROR(VLOOKUP(F119,[2]Реестр!A:K,2,0),"")</f>
        <v/>
      </c>
      <c r="H119" s="244" t="s">
        <v>81</v>
      </c>
      <c r="I119" s="450">
        <v>162.94999999999999</v>
      </c>
      <c r="K119" s="208"/>
    </row>
    <row r="120" spans="1:11" ht="18.75" hidden="1" customHeight="1" x14ac:dyDescent="0.25">
      <c r="A120" s="244">
        <v>12.44</v>
      </c>
      <c r="B120" s="244">
        <v>7.77</v>
      </c>
      <c r="C120" s="244">
        <v>25.16</v>
      </c>
      <c r="D120" s="244">
        <v>208</v>
      </c>
      <c r="E120" s="245" t="str">
        <f>"6/57 (2004 № 139)"</f>
        <v>6/57 (2004 № 139)</v>
      </c>
      <c r="F120" s="250" t="s">
        <v>603</v>
      </c>
      <c r="G120" s="199" t="str">
        <f>IFERROR(VLOOKUP(F120,[2]Реестр!A:K,2,0),"")</f>
        <v/>
      </c>
      <c r="H120" s="248" t="str">
        <f>"250"</f>
        <v>250</v>
      </c>
      <c r="I120" s="451"/>
      <c r="K120" s="208"/>
    </row>
    <row r="121" spans="1:11" ht="18.75" hidden="1" customHeight="1" x14ac:dyDescent="0.25">
      <c r="A121" s="244">
        <v>15.55</v>
      </c>
      <c r="B121" s="244">
        <v>18.7</v>
      </c>
      <c r="C121" s="244">
        <v>44.29</v>
      </c>
      <c r="D121" s="244">
        <v>408.6</v>
      </c>
      <c r="E121" s="245" t="str">
        <f>"9/17"</f>
        <v>9/17</v>
      </c>
      <c r="F121" s="245" t="s">
        <v>631</v>
      </c>
      <c r="G121" s="199"/>
      <c r="H121" s="249">
        <v>200</v>
      </c>
      <c r="I121" s="451"/>
      <c r="K121" s="208"/>
    </row>
    <row r="122" spans="1:11" ht="18.75" hidden="1" customHeight="1" x14ac:dyDescent="0.25">
      <c r="A122" s="244">
        <v>0.18</v>
      </c>
      <c r="B122" s="244">
        <v>0.04</v>
      </c>
      <c r="C122" s="244">
        <v>13.75</v>
      </c>
      <c r="D122" s="244">
        <v>53.136642799999997</v>
      </c>
      <c r="E122" s="245" t="str">
        <f>"11/56"</f>
        <v>11/56</v>
      </c>
      <c r="F122" s="245" t="s">
        <v>499</v>
      </c>
      <c r="G122" s="199"/>
      <c r="H122" s="248" t="str">
        <f>"200"</f>
        <v>200</v>
      </c>
      <c r="I122" s="451"/>
      <c r="K122" s="208"/>
    </row>
    <row r="123" spans="1:11" ht="18.75" hidden="1" customHeight="1" x14ac:dyDescent="0.25">
      <c r="A123" s="246">
        <v>2.64</v>
      </c>
      <c r="B123" s="246">
        <v>0.48</v>
      </c>
      <c r="C123" s="246">
        <v>16.68</v>
      </c>
      <c r="D123" s="246">
        <v>77.352000000000004</v>
      </c>
      <c r="E123" s="245" t="str">
        <f>"-"</f>
        <v>-</v>
      </c>
      <c r="F123" s="204" t="s">
        <v>66</v>
      </c>
      <c r="G123" s="199"/>
      <c r="H123" s="246" t="str">
        <f>"40"</f>
        <v>40</v>
      </c>
      <c r="I123" s="451"/>
      <c r="K123" s="208"/>
    </row>
    <row r="124" spans="1:11" ht="18.75" hidden="1" customHeight="1" x14ac:dyDescent="0.25">
      <c r="A124" s="246">
        <v>2.64</v>
      </c>
      <c r="B124" s="246">
        <v>0.48</v>
      </c>
      <c r="C124" s="246">
        <v>16.68</v>
      </c>
      <c r="D124" s="246">
        <v>77.352000000000004</v>
      </c>
      <c r="E124" s="247" t="str">
        <f>"-"</f>
        <v>-</v>
      </c>
      <c r="F124" s="204" t="s">
        <v>65</v>
      </c>
      <c r="G124" s="199" t="str">
        <f>IFERROR(VLOOKUP(F124,[2]Реестр!A:K,2,0),"")</f>
        <v>100</v>
      </c>
      <c r="H124" s="246" t="str">
        <f>"40"</f>
        <v>40</v>
      </c>
      <c r="I124" s="451"/>
      <c r="K124" s="208"/>
    </row>
    <row r="125" spans="1:11" ht="18.75" hidden="1" customHeight="1" x14ac:dyDescent="0.25">
      <c r="A125" s="246"/>
      <c r="B125" s="246"/>
      <c r="C125" s="246"/>
      <c r="D125" s="246"/>
      <c r="E125" s="247"/>
      <c r="F125" s="204"/>
      <c r="G125" s="199"/>
      <c r="H125" s="246"/>
      <c r="I125" s="451"/>
      <c r="K125" s="208"/>
    </row>
    <row r="126" spans="1:11" ht="18.75" hidden="1" x14ac:dyDescent="0.3">
      <c r="A126" s="464" t="s">
        <v>16</v>
      </c>
      <c r="B126" s="464"/>
      <c r="C126" s="464"/>
      <c r="D126" s="464"/>
      <c r="E126" s="464"/>
      <c r="F126" s="464"/>
      <c r="G126" s="205"/>
      <c r="H126" s="206"/>
      <c r="I126" s="207">
        <f>SUM(I119)</f>
        <v>162.94999999999999</v>
      </c>
      <c r="K126" s="208"/>
    </row>
    <row r="128" spans="1:11" s="215" customFormat="1" ht="18.75" x14ac:dyDescent="0.3">
      <c r="B128" s="252"/>
      <c r="C128" s="253"/>
      <c r="D128" s="253"/>
      <c r="E128" s="253"/>
      <c r="F128" s="254" t="s">
        <v>37</v>
      </c>
      <c r="G128" s="270"/>
      <c r="H128" s="257"/>
      <c r="I128" s="260" t="s">
        <v>612</v>
      </c>
      <c r="K128" s="202"/>
    </row>
  </sheetData>
  <autoFilter ref="A4:I93" xr:uid="{00000000-0009-0000-0000-00000C000000}"/>
  <mergeCells count="50">
    <mergeCell ref="A126:F126"/>
    <mergeCell ref="A1:B1"/>
    <mergeCell ref="H1:I1"/>
    <mergeCell ref="H2:I2"/>
    <mergeCell ref="A3:C3"/>
    <mergeCell ref="D3:E3"/>
    <mergeCell ref="H3:I3"/>
    <mergeCell ref="A40:I40"/>
    <mergeCell ref="I4:I5"/>
    <mergeCell ref="A22:I22"/>
    <mergeCell ref="A29:F29"/>
    <mergeCell ref="A30:I30"/>
    <mergeCell ref="A38:F38"/>
    <mergeCell ref="A39:I39"/>
    <mergeCell ref="A84:F84"/>
    <mergeCell ref="A46:I46"/>
    <mergeCell ref="J4:J5"/>
    <mergeCell ref="A6:I6"/>
    <mergeCell ref="A12:F12"/>
    <mergeCell ref="A13:I13"/>
    <mergeCell ref="A21:F21"/>
    <mergeCell ref="A4:C4"/>
    <mergeCell ref="D4:D5"/>
    <mergeCell ref="E4:E5"/>
    <mergeCell ref="F4:F5"/>
    <mergeCell ref="G4:G5"/>
    <mergeCell ref="H4:H5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A85:I85"/>
    <mergeCell ref="A93:F93"/>
    <mergeCell ref="A94:I94"/>
    <mergeCell ref="I95:I99"/>
    <mergeCell ref="A109:I109"/>
    <mergeCell ref="A117:F117"/>
    <mergeCell ref="A118:I118"/>
    <mergeCell ref="I119:I125"/>
    <mergeCell ref="I110:I116"/>
    <mergeCell ref="A100:F100"/>
    <mergeCell ref="A101:I101"/>
    <mergeCell ref="I102:I107"/>
    <mergeCell ref="A108:F108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C00-000000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F102:F104 F116 F7:F9 F41:F43 F57:F59 F95:F97 F107</xm:sqref>
        </x14:dataValidation>
        <x14:dataValidation type="list" allowBlank="1" showInputMessage="1" showErrorMessage="1" xr:uid="{00000000-0002-0000-0C00-000001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F60:F61 F10:F11 F105:F106 F98:F99 F44:F45 F19 F27:F28 F36 F52 F68 F76:F77 F91</xm:sqref>
        </x14:dataValidation>
        <x14:dataValidation type="list" allowBlank="1" showInputMessage="1" showErrorMessage="1" xr:uid="{00000000-0002-0000-0C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F60:F61 F10:F11 F105:F106 F98:F99 F44:F45 F19 F27:F28 F36 F52 F68 F76:F77 F91</xm:sqref>
        </x14:dataValidation>
        <x14:dataValidation type="list" allowBlank="1" showInputMessage="1" showErrorMessage="1" xr:uid="{00000000-0002-0000-0C00-000003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F80 F72 F23</xm:sqref>
        </x14:dataValidation>
        <x14:dataValidation type="list" allowBlank="1" showInputMessage="1" showErrorMessage="1" xr:uid="{00000000-0002-0000-0C00-000004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F17:F18 F25:F26 F34:F35 F50:F51 F66:F67 F74:F75 F89:F90 F111:F113 F120:F122</xm:sqref>
        </x14:dataValidation>
        <x14:dataValidation type="list" allowBlank="1" showInputMessage="1" showErrorMessage="1" xr:uid="{00000000-0002-0000-0C00-000006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F20 F37 F53 F69 F92 F115 F124:F125</xm:sqref>
        </x14:dataValidation>
        <x14:dataValidation type="list" allowBlank="1" showInputMessage="1" showErrorMessage="1" xr:uid="{00000000-0002-0000-0C00-000007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F14:F16 F24 F31:F33 F47:F49 F63:F65 F73 F86:F88 F83 F110 F119</xm:sqref>
        </x14:dataValidation>
        <x14:dataValidation type="list" allowBlank="1" showInputMessage="1" showErrorMessage="1" xr:uid="{00000000-0002-0000-0C00-000009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F114 F123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31">
    <pageSetUpPr fitToPage="1"/>
  </sheetPr>
  <dimension ref="A1:L148"/>
  <sheetViews>
    <sheetView view="pageBreakPreview" zoomScaleNormal="100" zoomScaleSheetLayoutView="100" workbookViewId="0">
      <selection activeCell="F3" sqref="F3"/>
    </sheetView>
  </sheetViews>
  <sheetFormatPr defaultRowHeight="15.75" x14ac:dyDescent="0.25"/>
  <cols>
    <col min="1" max="1" width="11.28515625" style="215" customWidth="1"/>
    <col min="2" max="2" width="11.28515625" style="252" customWidth="1"/>
    <col min="3" max="3" width="10.5703125" style="253" customWidth="1"/>
    <col min="4" max="4" width="10.28515625" style="253" customWidth="1"/>
    <col min="5" max="5" width="14" style="253" customWidth="1"/>
    <col min="6" max="6" width="57.85546875" style="253" customWidth="1"/>
    <col min="7" max="7" width="17.85546875" style="253" hidden="1" customWidth="1"/>
    <col min="8" max="9" width="15.5703125" style="253" customWidth="1"/>
    <col min="10" max="10" width="25.5703125" style="215" customWidth="1"/>
    <col min="11" max="1025" width="8.7109375" style="202" customWidth="1"/>
    <col min="1026" max="16384" width="9.140625" style="202"/>
  </cols>
  <sheetData>
    <row r="1" spans="1:12" s="234" customFormat="1" ht="29.25" customHeight="1" x14ac:dyDescent="0.25">
      <c r="A1" s="490"/>
      <c r="B1" s="490"/>
      <c r="C1" s="224"/>
      <c r="D1" s="224"/>
      <c r="E1" s="224"/>
      <c r="F1" s="231" t="s">
        <v>618</v>
      </c>
      <c r="G1" s="231"/>
      <c r="H1" s="439" t="s">
        <v>0</v>
      </c>
      <c r="I1" s="439"/>
    </row>
    <row r="2" spans="1:12" s="234" customFormat="1" ht="29.25" customHeight="1" x14ac:dyDescent="0.25">
      <c r="A2" s="224"/>
      <c r="B2" s="224"/>
      <c r="C2" s="225"/>
      <c r="D2" s="225"/>
      <c r="E2" s="225"/>
      <c r="F2" s="231" t="s">
        <v>619</v>
      </c>
      <c r="G2" s="231"/>
      <c r="H2" s="469" t="s">
        <v>620</v>
      </c>
      <c r="I2" s="469"/>
      <c r="J2" s="235"/>
    </row>
    <row r="3" spans="1:12" s="234" customFormat="1" ht="29.25" customHeight="1" x14ac:dyDescent="0.25">
      <c r="A3" s="491"/>
      <c r="B3" s="491"/>
      <c r="C3" s="491"/>
      <c r="D3" s="492"/>
      <c r="E3" s="492"/>
      <c r="F3" s="231" t="s">
        <v>660</v>
      </c>
      <c r="G3" s="231"/>
      <c r="H3" s="493" t="s">
        <v>621</v>
      </c>
      <c r="I3" s="493"/>
    </row>
    <row r="4" spans="1:12" ht="15" customHeight="1" x14ac:dyDescent="0.25">
      <c r="A4" s="472" t="s">
        <v>4</v>
      </c>
      <c r="B4" s="472"/>
      <c r="C4" s="472"/>
      <c r="D4" s="471" t="s">
        <v>5</v>
      </c>
      <c r="E4" s="471" t="s">
        <v>6</v>
      </c>
      <c r="F4" s="471" t="s">
        <v>7</v>
      </c>
      <c r="G4" s="473" t="s">
        <v>8</v>
      </c>
      <c r="H4" s="471" t="s">
        <v>9</v>
      </c>
      <c r="I4" s="471" t="s">
        <v>10</v>
      </c>
      <c r="J4" s="471" t="s">
        <v>11</v>
      </c>
    </row>
    <row r="5" spans="1:12" x14ac:dyDescent="0.25">
      <c r="A5" s="232" t="s">
        <v>12</v>
      </c>
      <c r="B5" s="232" t="s">
        <v>13</v>
      </c>
      <c r="C5" s="232" t="s">
        <v>14</v>
      </c>
      <c r="D5" s="471"/>
      <c r="E5" s="471"/>
      <c r="F5" s="471"/>
      <c r="G5" s="473"/>
      <c r="H5" s="471"/>
      <c r="I5" s="471"/>
      <c r="J5" s="471"/>
    </row>
    <row r="6" spans="1:12" ht="18" customHeight="1" x14ac:dyDescent="0.3">
      <c r="A6" s="462" t="s">
        <v>15</v>
      </c>
      <c r="B6" s="462"/>
      <c r="C6" s="462"/>
      <c r="D6" s="462"/>
      <c r="E6" s="462"/>
      <c r="F6" s="462"/>
      <c r="G6" s="462"/>
      <c r="H6" s="462"/>
      <c r="I6" s="462"/>
      <c r="J6" s="212"/>
    </row>
    <row r="7" spans="1:12" ht="18" customHeight="1" x14ac:dyDescent="0.3">
      <c r="A7" s="209">
        <f>IFERROR(VLOOKUP(F7,[1]Реестр!A:K,3,0)*H7/G7,"")</f>
        <v>3.8</v>
      </c>
      <c r="B7" s="209">
        <f>IFERROR(VLOOKUP(F7,[1]Реестр!A:K,4,0)*H7/G7,"")</f>
        <v>6.6</v>
      </c>
      <c r="C7" s="209">
        <f>IFERROR(VLOOKUP(F7,[1]Реестр!A:K,5,0)*H7/G7,"")</f>
        <v>9.6999999999999993</v>
      </c>
      <c r="D7" s="209">
        <f>IFERROR(VLOOKUP(F7,[1]Реестр!A:K,6,0)*H7/G7,"")</f>
        <v>116</v>
      </c>
      <c r="E7" s="210" t="str">
        <f>IFERROR(VLOOKUP(F7,[1]Реестр!A:K,11,0),"")</f>
        <v>1*58</v>
      </c>
      <c r="F7" s="233" t="s">
        <v>527</v>
      </c>
      <c r="G7" s="211" t="str">
        <f>IFERROR(VLOOKUP(F7,[1]Реестр!A:K,2,0),"")</f>
        <v>35</v>
      </c>
      <c r="H7" s="210">
        <v>35</v>
      </c>
      <c r="I7" s="207">
        <v>26.85</v>
      </c>
      <c r="J7" s="201" t="str">
        <f>IFERROR(VLOOKUP(O7,Реестр!#REF!,3,0)*Q7/P7,"")</f>
        <v/>
      </c>
    </row>
    <row r="8" spans="1:12" ht="18" customHeight="1" x14ac:dyDescent="0.3">
      <c r="A8" s="209">
        <v>9.75</v>
      </c>
      <c r="B8" s="209">
        <v>12.14</v>
      </c>
      <c r="C8" s="209">
        <v>36.06</v>
      </c>
      <c r="D8" s="209">
        <v>291.64</v>
      </c>
      <c r="E8" s="210" t="s">
        <v>133</v>
      </c>
      <c r="F8" s="223" t="s">
        <v>614</v>
      </c>
      <c r="G8" s="211" t="str">
        <f>IFERROR(VLOOKUP(F8,[1]Реестр!A:K,2,0),"")</f>
        <v/>
      </c>
      <c r="H8" s="210">
        <v>230</v>
      </c>
      <c r="I8" s="207">
        <v>38.270000000000003</v>
      </c>
      <c r="J8" s="201" t="str">
        <f>IFERROR(VLOOKUP(O8,Реестр!#REF!,3,0)*Q8/P8,"")</f>
        <v/>
      </c>
    </row>
    <row r="9" spans="1:12" ht="18" customHeight="1" x14ac:dyDescent="0.3">
      <c r="A9" s="209">
        <f>IFERROR(VLOOKUP(F9,[1]Реестр!A:K,3,0)*H9/G9,"")</f>
        <v>0.15</v>
      </c>
      <c r="B9" s="209">
        <f>IFERROR(VLOOKUP(F9,[1]Реестр!A:K,4,0)*H9/G9,"")</f>
        <v>0.09</v>
      </c>
      <c r="C9" s="209">
        <f>IFERROR(VLOOKUP(F9,[1]Реестр!A:K,5,0)*H9/G9,"")</f>
        <v>8.58</v>
      </c>
      <c r="D9" s="209">
        <f>IFERROR(VLOOKUP(F9,[1]Реестр!A:K,6,0)*H9/G9,"")</f>
        <v>34.799999999999997</v>
      </c>
      <c r="E9" s="210" t="str">
        <f>IFERROR(VLOOKUP(F9,[1]Реестр!A:K,11,0),"")</f>
        <v>12*2</v>
      </c>
      <c r="F9" s="216" t="s">
        <v>371</v>
      </c>
      <c r="G9" s="211" t="str">
        <f>IFERROR(VLOOKUP(F9,[1]Реестр!A:K,2,0),"")</f>
        <v>100</v>
      </c>
      <c r="H9" s="210">
        <v>30</v>
      </c>
      <c r="I9" s="207">
        <v>17.559999999999999</v>
      </c>
      <c r="J9" s="201" t="str">
        <f>IFERROR(VLOOKUP(O9,Реестр!#REF!,3,0)*Q9/P9,"")</f>
        <v/>
      </c>
    </row>
    <row r="10" spans="1:12" ht="18" customHeight="1" x14ac:dyDescent="0.3">
      <c r="A10" s="209">
        <f>IFERROR(VLOOKUP(F10,[1]Реестр!A:K,3,0)*H10/G10,"")</f>
        <v>3.6</v>
      </c>
      <c r="B10" s="209">
        <f>IFERROR(VLOOKUP(F10,[1]Реестр!A:K,4,0)*H10/G10,"")</f>
        <v>2.7</v>
      </c>
      <c r="C10" s="209">
        <f>IFERROR(VLOOKUP(F10,[1]Реестр!A:K,5,0)*H10/G10,"")</f>
        <v>22.9</v>
      </c>
      <c r="D10" s="209">
        <f>IFERROR(VLOOKUP(F10,[1]Реестр!A:K,6,0)*H10/G10,"")</f>
        <v>127</v>
      </c>
      <c r="E10" s="210" t="str">
        <f>IFERROR(VLOOKUP(F10,[1]Реестр!A:K,11,0),"")</f>
        <v>11*51</v>
      </c>
      <c r="F10" s="216" t="s">
        <v>342</v>
      </c>
      <c r="G10" s="211">
        <f>IFERROR(VLOOKUP(F10,[1]Реестр!A:K,2,0),"")</f>
        <v>200</v>
      </c>
      <c r="H10" s="206">
        <v>200</v>
      </c>
      <c r="I10" s="207">
        <v>24.16</v>
      </c>
      <c r="J10" s="201" t="str">
        <f>IFERROR(VLOOKUP(O10,Реестр!#REF!,3,0)*Q10/P10,"")</f>
        <v/>
      </c>
    </row>
    <row r="11" spans="1:12" ht="18.75" x14ac:dyDescent="0.3">
      <c r="A11" s="209">
        <f>IFERROR(VLOOKUP(F11,[1]Реестр!A:K,3,0)*H11/G11,"")</f>
        <v>1.32</v>
      </c>
      <c r="B11" s="209">
        <f>IFERROR(VLOOKUP(F11,[1]Реестр!A:K,4,0)*H11/G11,"")</f>
        <v>0.24</v>
      </c>
      <c r="C11" s="209">
        <f>IFERROR(VLOOKUP(F11,[1]Реестр!A:K,5,0)*H11/G11,"")</f>
        <v>6.68</v>
      </c>
      <c r="D11" s="209">
        <f>IFERROR(VLOOKUP(F11,[1]Реестр!A:K,6,0)*H11/G11,"")</f>
        <v>38.6</v>
      </c>
      <c r="E11" s="210" t="str">
        <f>IFERROR(VLOOKUP(F11,[1]Реестр!A:K,11,0),"")</f>
        <v>-</v>
      </c>
      <c r="F11" s="217" t="s">
        <v>65</v>
      </c>
      <c r="G11" s="211" t="str">
        <f>IFERROR(VLOOKUP(F11,[1]Реестр!A:K,2,0),"")</f>
        <v>100</v>
      </c>
      <c r="H11" s="206">
        <v>20</v>
      </c>
      <c r="I11" s="207">
        <v>1.8</v>
      </c>
      <c r="J11" s="206"/>
      <c r="K11" s="208"/>
    </row>
    <row r="12" spans="1:12" ht="18" customHeight="1" x14ac:dyDescent="0.3">
      <c r="A12" s="464" t="s">
        <v>16</v>
      </c>
      <c r="B12" s="464"/>
      <c r="C12" s="464"/>
      <c r="D12" s="464"/>
      <c r="E12" s="464"/>
      <c r="F12" s="464"/>
      <c r="G12" s="205"/>
      <c r="H12" s="206"/>
      <c r="I12" s="207">
        <f>SUM(I7:I11)</f>
        <v>108.64</v>
      </c>
      <c r="J12" s="206">
        <v>85.2</v>
      </c>
      <c r="K12" s="208">
        <f>I12-J12</f>
        <v>23.439999999999998</v>
      </c>
      <c r="L12" s="208"/>
    </row>
    <row r="13" spans="1:12" ht="18" customHeight="1" x14ac:dyDescent="0.3">
      <c r="A13" s="462" t="s">
        <v>17</v>
      </c>
      <c r="B13" s="462"/>
      <c r="C13" s="462"/>
      <c r="D13" s="462"/>
      <c r="E13" s="462"/>
      <c r="F13" s="462"/>
      <c r="G13" s="462"/>
      <c r="H13" s="462"/>
      <c r="I13" s="462"/>
      <c r="J13" s="212"/>
    </row>
    <row r="14" spans="1:12" ht="18.75" x14ac:dyDescent="0.3">
      <c r="A14" s="198">
        <v>14.01</v>
      </c>
      <c r="B14" s="196">
        <v>6.2079999999999993</v>
      </c>
      <c r="C14" s="196">
        <v>12.072000000000001</v>
      </c>
      <c r="D14" s="196">
        <v>117.68388800000001</v>
      </c>
      <c r="E14" s="197" t="s">
        <v>628</v>
      </c>
      <c r="F14" s="198" t="s">
        <v>629</v>
      </c>
      <c r="G14" s="199" t="str">
        <f>IFERROR(VLOOKUP(F14,[2]Реестр!A:K,2,0),"")</f>
        <v/>
      </c>
      <c r="H14" s="197">
        <v>80</v>
      </c>
      <c r="I14" s="236">
        <v>21.73</v>
      </c>
      <c r="J14" s="201" t="str">
        <f>IFERROR(VLOOKUP(O14,Реестр!#REF!,3,0)*Q14/P14,"")</f>
        <v/>
      </c>
    </row>
    <row r="15" spans="1:12" ht="18" customHeight="1" x14ac:dyDescent="0.3">
      <c r="A15" s="196">
        <v>8.9166666666666661</v>
      </c>
      <c r="B15" s="196">
        <v>7.75</v>
      </c>
      <c r="C15" s="196">
        <v>19.5</v>
      </c>
      <c r="D15" s="196">
        <v>185</v>
      </c>
      <c r="E15" s="197" t="s">
        <v>213</v>
      </c>
      <c r="F15" s="198" t="s">
        <v>212</v>
      </c>
      <c r="G15" s="199" t="str">
        <f>IFERROR(VLOOKUP(F15,[2]Реестр!A:K,2,0),"")</f>
        <v>300</v>
      </c>
      <c r="H15" s="200">
        <v>250</v>
      </c>
      <c r="I15" s="203">
        <v>42</v>
      </c>
      <c r="J15" s="201" t="str">
        <f>IFERROR(VLOOKUP(O15,Реестр!#REF!,3,0)*Q15/P15,"")</f>
        <v/>
      </c>
    </row>
    <row r="16" spans="1:12" ht="18" customHeight="1" x14ac:dyDescent="0.3">
      <c r="A16" s="196">
        <v>17.37</v>
      </c>
      <c r="B16" s="196">
        <v>9.0540000000000003</v>
      </c>
      <c r="C16" s="196">
        <v>30.789000000000001</v>
      </c>
      <c r="D16" s="196">
        <v>274.12200000000001</v>
      </c>
      <c r="E16" s="197" t="s">
        <v>630</v>
      </c>
      <c r="F16" s="198" t="s">
        <v>631</v>
      </c>
      <c r="G16" s="199" t="str">
        <f>IFERROR(VLOOKUP(F16,[2]Реестр!A:K,2,0),"")</f>
        <v/>
      </c>
      <c r="H16" s="200">
        <v>200</v>
      </c>
      <c r="I16" s="200">
        <v>87.64</v>
      </c>
      <c r="J16" s="201" t="str">
        <f>IFERROR(VLOOKUP(O16,Реестр!#REF!,3,0)*Q16/P16,"")</f>
        <v/>
      </c>
    </row>
    <row r="17" spans="1:12" ht="18" customHeight="1" x14ac:dyDescent="0.3">
      <c r="A17" s="196">
        <v>0.2</v>
      </c>
      <c r="B17" s="196">
        <v>0</v>
      </c>
      <c r="C17" s="196">
        <v>13.7</v>
      </c>
      <c r="D17" s="196">
        <v>53</v>
      </c>
      <c r="E17" s="197" t="s">
        <v>353</v>
      </c>
      <c r="F17" s="198" t="s">
        <v>499</v>
      </c>
      <c r="G17" s="199" t="str">
        <f>IFERROR(VLOOKUP(F17,[2]Реестр!A:K,2,0),"")</f>
        <v>200</v>
      </c>
      <c r="H17" s="200">
        <v>200</v>
      </c>
      <c r="I17" s="203">
        <v>4.38</v>
      </c>
      <c r="J17" s="201"/>
    </row>
    <row r="18" spans="1:12" ht="18" customHeight="1" x14ac:dyDescent="0.3">
      <c r="A18" s="196">
        <v>2.64</v>
      </c>
      <c r="B18" s="196">
        <v>0.24</v>
      </c>
      <c r="C18" s="196">
        <v>18.72</v>
      </c>
      <c r="D18" s="196">
        <v>89.6</v>
      </c>
      <c r="E18" s="197" t="s">
        <v>471</v>
      </c>
      <c r="F18" s="204" t="s">
        <v>66</v>
      </c>
      <c r="G18" s="199" t="str">
        <f>IFERROR(VLOOKUP(F18,[2]Реестр!A:K,2,0),"")</f>
        <v>100</v>
      </c>
      <c r="H18" s="200">
        <v>40</v>
      </c>
      <c r="I18" s="203">
        <v>3.6</v>
      </c>
      <c r="J18" s="201" t="str">
        <f>IFERROR(VLOOKUP(O18,Реестр!#REF!,3,0)*Q18/P18,"")</f>
        <v/>
      </c>
    </row>
    <row r="19" spans="1:12" ht="18" customHeight="1" x14ac:dyDescent="0.3">
      <c r="A19" s="196">
        <v>2.64</v>
      </c>
      <c r="B19" s="196">
        <v>0.48</v>
      </c>
      <c r="C19" s="196">
        <v>13.36</v>
      </c>
      <c r="D19" s="196">
        <v>77.2</v>
      </c>
      <c r="E19" s="197" t="s">
        <v>471</v>
      </c>
      <c r="F19" s="204" t="s">
        <v>65</v>
      </c>
      <c r="G19" s="199" t="str">
        <f>IFERROR(VLOOKUP(F19,[2]Реестр!A:K,2,0),"")</f>
        <v>100</v>
      </c>
      <c r="H19" s="200">
        <v>40</v>
      </c>
      <c r="I19" s="203">
        <v>3.6</v>
      </c>
      <c r="J19" s="201" t="str">
        <f>IFERROR(VLOOKUP(O19,Реестр!#REF!,3,0)*Q19/P19,"")</f>
        <v/>
      </c>
    </row>
    <row r="20" spans="1:12" ht="18" customHeight="1" x14ac:dyDescent="0.3">
      <c r="A20" s="196"/>
      <c r="B20" s="196"/>
      <c r="C20" s="196"/>
      <c r="D20" s="196"/>
      <c r="E20" s="214"/>
      <c r="F20" s="204"/>
      <c r="G20" s="199"/>
      <c r="H20" s="200"/>
      <c r="I20" s="203"/>
      <c r="J20" s="201"/>
    </row>
    <row r="21" spans="1:12" ht="18.75" x14ac:dyDescent="0.3">
      <c r="A21" s="464" t="s">
        <v>16</v>
      </c>
      <c r="B21" s="464"/>
      <c r="C21" s="464"/>
      <c r="D21" s="464"/>
      <c r="E21" s="464"/>
      <c r="F21" s="464"/>
      <c r="G21" s="205"/>
      <c r="H21" s="206"/>
      <c r="I21" s="207">
        <f>SUM(I14:I20)</f>
        <v>162.94999999999999</v>
      </c>
      <c r="J21" s="206">
        <v>127.79</v>
      </c>
      <c r="K21" s="208">
        <f>J21-I21</f>
        <v>-35.159999999999982</v>
      </c>
    </row>
    <row r="22" spans="1:12" ht="18.75" x14ac:dyDescent="0.3">
      <c r="A22" s="462" t="s">
        <v>500</v>
      </c>
      <c r="B22" s="462"/>
      <c r="C22" s="462"/>
      <c r="D22" s="462"/>
      <c r="E22" s="462"/>
      <c r="F22" s="462"/>
      <c r="G22" s="462"/>
      <c r="H22" s="462"/>
      <c r="I22" s="462"/>
      <c r="J22" s="212"/>
    </row>
    <row r="23" spans="1:12" ht="18.75" x14ac:dyDescent="0.25">
      <c r="A23" s="209">
        <v>20.9</v>
      </c>
      <c r="B23" s="209">
        <v>3.6</v>
      </c>
      <c r="C23" s="209">
        <v>6.6</v>
      </c>
      <c r="D23" s="209">
        <v>114</v>
      </c>
      <c r="E23" s="210" t="s">
        <v>626</v>
      </c>
      <c r="F23" s="223" t="s">
        <v>627</v>
      </c>
      <c r="G23" s="211" t="str">
        <f>IFERROR(VLOOKUP(F23,[1]Реестр!A:K,2,0),"")</f>
        <v/>
      </c>
      <c r="H23" s="210">
        <v>30</v>
      </c>
      <c r="I23" s="230">
        <v>7.43</v>
      </c>
      <c r="J23" s="212"/>
    </row>
    <row r="24" spans="1:12" ht="18.75" x14ac:dyDescent="0.3">
      <c r="A24" s="196">
        <v>21.712499999999999</v>
      </c>
      <c r="B24" s="196">
        <v>11.317500000000001</v>
      </c>
      <c r="C24" s="196">
        <v>38.486249999999998</v>
      </c>
      <c r="D24" s="196">
        <v>342.65249999999997</v>
      </c>
      <c r="E24" s="197" t="s">
        <v>630</v>
      </c>
      <c r="F24" s="198" t="s">
        <v>631</v>
      </c>
      <c r="G24" s="199" t="str">
        <f>IFERROR(VLOOKUP(F24,[2]Реестр!A:K,2,0),"")</f>
        <v/>
      </c>
      <c r="H24" s="200">
        <v>250</v>
      </c>
      <c r="I24" s="200">
        <v>109.55</v>
      </c>
      <c r="J24" s="201" t="str">
        <f>IFERROR(VLOOKUP(O24,Реестр!#REF!,3,0)*Q24/P24,"")</f>
        <v/>
      </c>
    </row>
    <row r="25" spans="1:12" ht="18.75" x14ac:dyDescent="0.3">
      <c r="A25" s="196">
        <v>0.2</v>
      </c>
      <c r="B25" s="196">
        <v>0</v>
      </c>
      <c r="C25" s="196">
        <v>13.7</v>
      </c>
      <c r="D25" s="196">
        <v>53</v>
      </c>
      <c r="E25" s="197" t="s">
        <v>353</v>
      </c>
      <c r="F25" s="198" t="s">
        <v>499</v>
      </c>
      <c r="G25" s="199" t="str">
        <f>IFERROR(VLOOKUP(F25,[2]Реестр!A:K,2,0),"")</f>
        <v>200</v>
      </c>
      <c r="H25" s="200">
        <v>200</v>
      </c>
      <c r="I25" s="203">
        <v>4.38</v>
      </c>
      <c r="J25" s="201"/>
    </row>
    <row r="26" spans="1:12" ht="18.75" x14ac:dyDescent="0.3">
      <c r="A26" s="196">
        <v>2.64</v>
      </c>
      <c r="B26" s="196">
        <v>0.24</v>
      </c>
      <c r="C26" s="196">
        <v>18.72</v>
      </c>
      <c r="D26" s="196">
        <v>89.6</v>
      </c>
      <c r="E26" s="197" t="s">
        <v>471</v>
      </c>
      <c r="F26" s="204" t="s">
        <v>66</v>
      </c>
      <c r="G26" s="199" t="str">
        <f>IFERROR(VLOOKUP(F26,[2]Реестр!A:K,2,0),"")</f>
        <v>100</v>
      </c>
      <c r="H26" s="200">
        <v>40</v>
      </c>
      <c r="I26" s="203">
        <v>3.6</v>
      </c>
      <c r="J26" s="201" t="str">
        <f>IFERROR(VLOOKUP(O26,Реестр!#REF!,3,0)*Q26/P26,"")</f>
        <v/>
      </c>
    </row>
    <row r="27" spans="1:12" ht="18.75" x14ac:dyDescent="0.3">
      <c r="A27" s="196">
        <v>2.64</v>
      </c>
      <c r="B27" s="196">
        <v>0.48</v>
      </c>
      <c r="C27" s="196">
        <v>13.36</v>
      </c>
      <c r="D27" s="196">
        <v>77.2</v>
      </c>
      <c r="E27" s="197" t="s">
        <v>471</v>
      </c>
      <c r="F27" s="204" t="s">
        <v>65</v>
      </c>
      <c r="G27" s="199" t="str">
        <f>IFERROR(VLOOKUP(F27,[2]Реестр!A:K,2,0),"")</f>
        <v>100</v>
      </c>
      <c r="H27" s="200">
        <v>40</v>
      </c>
      <c r="I27" s="203">
        <v>3.6</v>
      </c>
      <c r="J27" s="201"/>
    </row>
    <row r="28" spans="1:12" ht="18.75" x14ac:dyDescent="0.3">
      <c r="A28" s="196"/>
      <c r="B28" s="196"/>
      <c r="C28" s="196"/>
      <c r="D28" s="196"/>
      <c r="E28" s="197"/>
      <c r="F28" s="204"/>
      <c r="G28" s="199"/>
      <c r="H28" s="200"/>
      <c r="I28" s="203"/>
      <c r="J28" s="201" t="str">
        <f>IFERROR(VLOOKUP(O28,Реестр!#REF!,3,0)*Q28/P28,"")</f>
        <v/>
      </c>
    </row>
    <row r="29" spans="1:12" ht="18.75" x14ac:dyDescent="0.3">
      <c r="A29" s="453" t="s">
        <v>16</v>
      </c>
      <c r="B29" s="454"/>
      <c r="C29" s="454"/>
      <c r="D29" s="454"/>
      <c r="E29" s="454"/>
      <c r="F29" s="455"/>
      <c r="G29" s="205"/>
      <c r="H29" s="206"/>
      <c r="I29" s="207">
        <f>SUM(I23:I28)</f>
        <v>128.55999999999997</v>
      </c>
      <c r="J29" s="206">
        <v>98.52</v>
      </c>
      <c r="K29" s="208">
        <f>I29-J29</f>
        <v>30.039999999999978</v>
      </c>
      <c r="L29" s="208"/>
    </row>
    <row r="30" spans="1:12" ht="18.75" x14ac:dyDescent="0.3">
      <c r="A30" s="462" t="s">
        <v>501</v>
      </c>
      <c r="B30" s="462"/>
      <c r="C30" s="462"/>
      <c r="D30" s="462"/>
      <c r="E30" s="462"/>
      <c r="F30" s="462"/>
      <c r="G30" s="462"/>
      <c r="H30" s="462"/>
      <c r="I30" s="462"/>
      <c r="J30" s="201"/>
    </row>
    <row r="31" spans="1:12" ht="18.75" x14ac:dyDescent="0.3">
      <c r="A31" s="198">
        <v>14.01</v>
      </c>
      <c r="B31" s="196">
        <v>6.2079999999999993</v>
      </c>
      <c r="C31" s="196">
        <v>12.072000000000001</v>
      </c>
      <c r="D31" s="196">
        <v>117.68388800000001</v>
      </c>
      <c r="E31" s="197" t="s">
        <v>628</v>
      </c>
      <c r="F31" s="198" t="s">
        <v>629</v>
      </c>
      <c r="G31" s="199" t="str">
        <f>IFERROR(VLOOKUP(F31,[2]Реестр!A:K,2,0),"")</f>
        <v/>
      </c>
      <c r="H31" s="197">
        <v>100</v>
      </c>
      <c r="I31" s="236">
        <v>27.91</v>
      </c>
      <c r="J31" s="201"/>
    </row>
    <row r="32" spans="1:12" ht="18.75" x14ac:dyDescent="0.3">
      <c r="A32" s="196">
        <v>8.9166666666666661</v>
      </c>
      <c r="B32" s="196">
        <v>7.75</v>
      </c>
      <c r="C32" s="196">
        <v>19.5</v>
      </c>
      <c r="D32" s="196">
        <v>185</v>
      </c>
      <c r="E32" s="197" t="s">
        <v>213</v>
      </c>
      <c r="F32" s="198" t="s">
        <v>212</v>
      </c>
      <c r="G32" s="199" t="str">
        <f>IFERROR(VLOOKUP(F32,[2]Реестр!A:K,2,0),"")</f>
        <v>300</v>
      </c>
      <c r="H32" s="200">
        <v>250</v>
      </c>
      <c r="I32" s="203">
        <v>42</v>
      </c>
      <c r="J32" s="206"/>
      <c r="K32" s="208">
        <f>I38-J32</f>
        <v>192.83999999999997</v>
      </c>
    </row>
    <row r="33" spans="1:12" ht="18.75" x14ac:dyDescent="0.3">
      <c r="A33" s="196">
        <v>21.712499999999999</v>
      </c>
      <c r="B33" s="196">
        <v>11.317500000000001</v>
      </c>
      <c r="C33" s="196">
        <v>38.486249999999998</v>
      </c>
      <c r="D33" s="196">
        <v>342.65249999999997</v>
      </c>
      <c r="E33" s="197" t="s">
        <v>630</v>
      </c>
      <c r="F33" s="198" t="s">
        <v>631</v>
      </c>
      <c r="G33" s="199" t="str">
        <f>IFERROR(VLOOKUP(F33,[2]Реестр!A:K,2,0),"")</f>
        <v/>
      </c>
      <c r="H33" s="200">
        <v>250</v>
      </c>
      <c r="I33" s="200">
        <v>109.55</v>
      </c>
      <c r="J33" s="212"/>
    </row>
    <row r="34" spans="1:12" ht="18.75" x14ac:dyDescent="0.3">
      <c r="A34" s="196">
        <v>0.2</v>
      </c>
      <c r="B34" s="196">
        <v>0</v>
      </c>
      <c r="C34" s="196">
        <v>13.7</v>
      </c>
      <c r="D34" s="196">
        <v>53</v>
      </c>
      <c r="E34" s="197" t="s">
        <v>353</v>
      </c>
      <c r="F34" s="198" t="s">
        <v>499</v>
      </c>
      <c r="G34" s="199" t="str">
        <f>IFERROR(VLOOKUP(F34,[2]Реестр!A:K,2,0),"")</f>
        <v>200</v>
      </c>
      <c r="H34" s="200">
        <v>200</v>
      </c>
      <c r="I34" s="203">
        <v>4.38</v>
      </c>
      <c r="J34" s="212"/>
    </row>
    <row r="35" spans="1:12" ht="18.75" x14ac:dyDescent="0.3">
      <c r="A35" s="196">
        <v>3.3</v>
      </c>
      <c r="B35" s="196">
        <v>0.3</v>
      </c>
      <c r="C35" s="196">
        <v>23.4</v>
      </c>
      <c r="D35" s="196">
        <v>112</v>
      </c>
      <c r="E35" s="197" t="s">
        <v>471</v>
      </c>
      <c r="F35" s="204" t="s">
        <v>66</v>
      </c>
      <c r="G35" s="199" t="str">
        <f>IFERROR(VLOOKUP(F35,[2]Реестр!A:K,2,0),"")</f>
        <v>100</v>
      </c>
      <c r="H35" s="200">
        <v>50</v>
      </c>
      <c r="I35" s="203">
        <v>4.5</v>
      </c>
      <c r="J35" s="212"/>
    </row>
    <row r="36" spans="1:12" ht="18.75" x14ac:dyDescent="0.3">
      <c r="A36" s="196">
        <v>3.3</v>
      </c>
      <c r="B36" s="196">
        <v>0.6</v>
      </c>
      <c r="C36" s="196">
        <v>16.7</v>
      </c>
      <c r="D36" s="196">
        <v>96.5</v>
      </c>
      <c r="E36" s="197" t="s">
        <v>471</v>
      </c>
      <c r="F36" s="204" t="s">
        <v>65</v>
      </c>
      <c r="G36" s="199" t="str">
        <f>IFERROR(VLOOKUP(F36,[2]Реестр!A:K,2,0),"")</f>
        <v>100</v>
      </c>
      <c r="H36" s="200">
        <v>50</v>
      </c>
      <c r="I36" s="203">
        <v>4.5</v>
      </c>
      <c r="J36" s="213"/>
    </row>
    <row r="37" spans="1:12" ht="18.75" x14ac:dyDescent="0.3">
      <c r="A37" s="196"/>
      <c r="B37" s="196"/>
      <c r="C37" s="196"/>
      <c r="D37" s="196"/>
      <c r="E37" s="214"/>
      <c r="F37" s="204"/>
      <c r="G37" s="199"/>
      <c r="H37" s="200"/>
      <c r="I37" s="203"/>
      <c r="J37" s="213"/>
    </row>
    <row r="38" spans="1:12" ht="18.75" x14ac:dyDescent="0.3">
      <c r="A38" s="453" t="s">
        <v>16</v>
      </c>
      <c r="B38" s="454"/>
      <c r="C38" s="454"/>
      <c r="D38" s="454"/>
      <c r="E38" s="454"/>
      <c r="F38" s="455"/>
      <c r="G38" s="205"/>
      <c r="H38" s="206"/>
      <c r="I38" s="207">
        <f>SUM(I31:I37)</f>
        <v>192.83999999999997</v>
      </c>
      <c r="J38" s="206">
        <v>147.79</v>
      </c>
      <c r="K38" s="208">
        <f>I38-J38</f>
        <v>45.049999999999983</v>
      </c>
    </row>
    <row r="39" spans="1:12" ht="18.75" x14ac:dyDescent="0.3">
      <c r="A39" s="462" t="s">
        <v>18</v>
      </c>
      <c r="B39" s="462"/>
      <c r="C39" s="462"/>
      <c r="D39" s="462"/>
      <c r="E39" s="462"/>
      <c r="F39" s="462"/>
      <c r="G39" s="462"/>
      <c r="H39" s="462"/>
      <c r="I39" s="462"/>
      <c r="J39" s="213"/>
    </row>
    <row r="40" spans="1:12" ht="18.75" x14ac:dyDescent="0.3">
      <c r="A40" s="462" t="s">
        <v>19</v>
      </c>
      <c r="B40" s="462"/>
      <c r="C40" s="462"/>
      <c r="D40" s="462"/>
      <c r="E40" s="462"/>
      <c r="F40" s="462"/>
      <c r="G40" s="462"/>
      <c r="H40" s="462"/>
      <c r="I40" s="462"/>
      <c r="J40" s="213"/>
    </row>
    <row r="41" spans="1:12" ht="18.75" x14ac:dyDescent="0.3">
      <c r="A41" s="209">
        <f>IFERROR(VLOOKUP(F41,[1]Реестр!A:K,3,0)*H41/G41,"")</f>
        <v>3.8</v>
      </c>
      <c r="B41" s="209">
        <f>IFERROR(VLOOKUP(F41,[1]Реестр!A:K,4,0)*H41/G41,"")</f>
        <v>6.6</v>
      </c>
      <c r="C41" s="209">
        <f>IFERROR(VLOOKUP(F41,[1]Реестр!A:K,5,0)*H41/G41,"")</f>
        <v>9.6999999999999993</v>
      </c>
      <c r="D41" s="209">
        <f>IFERROR(VLOOKUP(F41,[1]Реестр!A:K,6,0)*H41/G41,"")</f>
        <v>116</v>
      </c>
      <c r="E41" s="210" t="str">
        <f>IFERROR(VLOOKUP(F41,[1]Реестр!A:K,11,0),"")</f>
        <v>1*58</v>
      </c>
      <c r="F41" s="233" t="s">
        <v>527</v>
      </c>
      <c r="G41" s="211" t="str">
        <f>IFERROR(VLOOKUP(F41,[1]Реестр!A:K,2,0),"")</f>
        <v>35</v>
      </c>
      <c r="H41" s="210">
        <v>35</v>
      </c>
      <c r="I41" s="207">
        <v>26.85</v>
      </c>
      <c r="J41" s="213" t="s">
        <v>20</v>
      </c>
    </row>
    <row r="42" spans="1:12" ht="18.75" x14ac:dyDescent="0.3">
      <c r="A42" s="209">
        <v>9.75</v>
      </c>
      <c r="B42" s="209">
        <v>12.14</v>
      </c>
      <c r="C42" s="209">
        <v>36.06</v>
      </c>
      <c r="D42" s="209">
        <v>291.64</v>
      </c>
      <c r="E42" s="210" t="s">
        <v>133</v>
      </c>
      <c r="F42" s="223" t="s">
        <v>614</v>
      </c>
      <c r="G42" s="211" t="str">
        <f>IFERROR(VLOOKUP(F42,[1]Реестр!A:K,2,0),"")</f>
        <v/>
      </c>
      <c r="H42" s="210">
        <v>230</v>
      </c>
      <c r="I42" s="207">
        <v>38.270000000000003</v>
      </c>
      <c r="J42" s="213" t="s">
        <v>537</v>
      </c>
      <c r="K42" s="237"/>
      <c r="L42" s="237"/>
    </row>
    <row r="43" spans="1:12" ht="18.75" x14ac:dyDescent="0.3">
      <c r="A43" s="209">
        <f>IFERROR(VLOOKUP(F43,[1]Реестр!A:K,3,0)*H43/G43,"")</f>
        <v>0.15</v>
      </c>
      <c r="B43" s="209">
        <f>IFERROR(VLOOKUP(F43,[1]Реестр!A:K,4,0)*H43/G43,"")</f>
        <v>0.09</v>
      </c>
      <c r="C43" s="209">
        <f>IFERROR(VLOOKUP(F43,[1]Реестр!A:K,5,0)*H43/G43,"")</f>
        <v>8.58</v>
      </c>
      <c r="D43" s="209">
        <f>IFERROR(VLOOKUP(F43,[1]Реестр!A:K,6,0)*H43/G43,"")</f>
        <v>34.799999999999997</v>
      </c>
      <c r="E43" s="210" t="str">
        <f>IFERROR(VLOOKUP(F43,[1]Реестр!A:K,11,0),"")</f>
        <v>12*2</v>
      </c>
      <c r="F43" s="216" t="s">
        <v>371</v>
      </c>
      <c r="G43" s="211" t="str">
        <f>IFERROR(VLOOKUP(F43,[1]Реестр!A:K,2,0),"")</f>
        <v>100</v>
      </c>
      <c r="H43" s="210">
        <v>30</v>
      </c>
      <c r="I43" s="207">
        <v>17.559999999999999</v>
      </c>
      <c r="J43" s="213" t="s">
        <v>477</v>
      </c>
      <c r="K43" s="237"/>
      <c r="L43" s="237"/>
    </row>
    <row r="44" spans="1:12" ht="18.75" x14ac:dyDescent="0.3">
      <c r="A44" s="209">
        <f>IFERROR(VLOOKUP(F44,[1]Реестр!A:K,3,0)*H44/G44,"")</f>
        <v>3.6</v>
      </c>
      <c r="B44" s="209">
        <f>IFERROR(VLOOKUP(F44,[1]Реестр!A:K,4,0)*H44/G44,"")</f>
        <v>2.7</v>
      </c>
      <c r="C44" s="209">
        <f>IFERROR(VLOOKUP(F44,[1]Реестр!A:K,5,0)*H44/G44,"")</f>
        <v>22.9</v>
      </c>
      <c r="D44" s="209">
        <f>IFERROR(VLOOKUP(F44,[1]Реестр!A:K,6,0)*H44/G44,"")</f>
        <v>127</v>
      </c>
      <c r="E44" s="210" t="str">
        <f>IFERROR(VLOOKUP(F44,[1]Реестр!A:K,11,0),"")</f>
        <v>11*51</v>
      </c>
      <c r="F44" s="216" t="s">
        <v>342</v>
      </c>
      <c r="G44" s="211">
        <f>IFERROR(VLOOKUP(F44,[1]Реестр!A:K,2,0),"")</f>
        <v>200</v>
      </c>
      <c r="H44" s="206">
        <v>200</v>
      </c>
      <c r="I44" s="207">
        <v>24.16</v>
      </c>
      <c r="J44" s="213" t="s">
        <v>479</v>
      </c>
      <c r="K44" s="237"/>
      <c r="L44" s="237"/>
    </row>
    <row r="45" spans="1:12" ht="18.75" x14ac:dyDescent="0.3">
      <c r="A45" s="209">
        <f>IFERROR(VLOOKUP(F45,[1]Реестр!A:K,3,0)*H45/G45,"")</f>
        <v>1.32</v>
      </c>
      <c r="B45" s="209">
        <f>IFERROR(VLOOKUP(F45,[1]Реестр!A:K,4,0)*H45/G45,"")</f>
        <v>0.24</v>
      </c>
      <c r="C45" s="209">
        <f>IFERROR(VLOOKUP(F45,[1]Реестр!A:K,5,0)*H45/G45,"")</f>
        <v>6.68</v>
      </c>
      <c r="D45" s="209">
        <f>IFERROR(VLOOKUP(F45,[1]Реестр!A:K,6,0)*H45/G45,"")</f>
        <v>38.6</v>
      </c>
      <c r="E45" s="210" t="str">
        <f>IFERROR(VLOOKUP(F45,[1]Реестр!A:K,11,0),"")</f>
        <v>-</v>
      </c>
      <c r="F45" s="217" t="s">
        <v>65</v>
      </c>
      <c r="G45" s="211" t="str">
        <f>IFERROR(VLOOKUP(F45,[1]Реестр!A:K,2,0),"")</f>
        <v>100</v>
      </c>
      <c r="H45" s="206">
        <v>20</v>
      </c>
      <c r="I45" s="207">
        <v>1.8</v>
      </c>
      <c r="J45" s="213" t="s">
        <v>475</v>
      </c>
      <c r="K45" s="238"/>
      <c r="L45" s="237"/>
    </row>
    <row r="46" spans="1:12" ht="18.75" x14ac:dyDescent="0.3">
      <c r="A46" s="465" t="s">
        <v>25</v>
      </c>
      <c r="B46" s="466"/>
      <c r="C46" s="466"/>
      <c r="D46" s="466"/>
      <c r="E46" s="466"/>
      <c r="F46" s="466"/>
      <c r="G46" s="466"/>
      <c r="H46" s="466"/>
      <c r="I46" s="467"/>
      <c r="J46" s="213"/>
    </row>
    <row r="47" spans="1:12" s="234" customFormat="1" ht="18.75" x14ac:dyDescent="0.25">
      <c r="A47" s="198">
        <v>14.01</v>
      </c>
      <c r="B47" s="196">
        <v>6.2079999999999993</v>
      </c>
      <c r="C47" s="196">
        <v>12.072000000000001</v>
      </c>
      <c r="D47" s="196">
        <v>117.68388800000001</v>
      </c>
      <c r="E47" s="197" t="s">
        <v>628</v>
      </c>
      <c r="F47" s="198" t="s">
        <v>629</v>
      </c>
      <c r="G47" s="199" t="str">
        <f>IFERROR(VLOOKUP(F47,[2]Реестр!A:K,2,0),"")</f>
        <v/>
      </c>
      <c r="H47" s="197">
        <v>80</v>
      </c>
      <c r="I47" s="236">
        <v>21.73</v>
      </c>
      <c r="J47" s="239" t="s">
        <v>538</v>
      </c>
    </row>
    <row r="48" spans="1:12" ht="18.75" x14ac:dyDescent="0.3">
      <c r="A48" s="196">
        <v>8.9166666666666661</v>
      </c>
      <c r="B48" s="196">
        <v>7.75</v>
      </c>
      <c r="C48" s="196">
        <v>19.5</v>
      </c>
      <c r="D48" s="196">
        <v>185</v>
      </c>
      <c r="E48" s="197" t="s">
        <v>213</v>
      </c>
      <c r="F48" s="198" t="s">
        <v>212</v>
      </c>
      <c r="G48" s="199" t="str">
        <f>IFERROR(VLOOKUP(F48,[2]Реестр!A:K,2,0),"")</f>
        <v>300</v>
      </c>
      <c r="H48" s="200">
        <v>250</v>
      </c>
      <c r="I48" s="203">
        <v>42</v>
      </c>
      <c r="J48" s="213" t="s">
        <v>478</v>
      </c>
    </row>
    <row r="49" spans="1:11" ht="18.75" x14ac:dyDescent="0.3">
      <c r="A49" s="196">
        <v>17.37</v>
      </c>
      <c r="B49" s="196">
        <v>9.0540000000000003</v>
      </c>
      <c r="C49" s="196">
        <v>30.789000000000001</v>
      </c>
      <c r="D49" s="196">
        <v>274.12200000000001</v>
      </c>
      <c r="E49" s="197" t="s">
        <v>630</v>
      </c>
      <c r="F49" s="198" t="s">
        <v>631</v>
      </c>
      <c r="G49" s="199" t="str">
        <f>IFERROR(VLOOKUP(F49,[2]Реестр!A:K,2,0),"")</f>
        <v/>
      </c>
      <c r="H49" s="200">
        <v>200</v>
      </c>
      <c r="I49" s="200">
        <v>87.64</v>
      </c>
      <c r="J49" s="213" t="s">
        <v>537</v>
      </c>
    </row>
    <row r="50" spans="1:11" ht="18.75" x14ac:dyDescent="0.3">
      <c r="A50" s="196">
        <v>0.2</v>
      </c>
      <c r="B50" s="196">
        <v>0</v>
      </c>
      <c r="C50" s="196">
        <v>13.7</v>
      </c>
      <c r="D50" s="196">
        <v>53</v>
      </c>
      <c r="E50" s="197" t="s">
        <v>353</v>
      </c>
      <c r="F50" s="198" t="s">
        <v>499</v>
      </c>
      <c r="G50" s="199" t="str">
        <f>IFERROR(VLOOKUP(F50,[2]Реестр!A:K,2,0),"")</f>
        <v>200</v>
      </c>
      <c r="H50" s="200">
        <v>200</v>
      </c>
      <c r="I50" s="203">
        <v>4.38</v>
      </c>
      <c r="J50" s="213" t="s">
        <v>29</v>
      </c>
    </row>
    <row r="51" spans="1:11" ht="18.75" x14ac:dyDescent="0.3">
      <c r="A51" s="196">
        <v>2.64</v>
      </c>
      <c r="B51" s="196">
        <v>0.24</v>
      </c>
      <c r="C51" s="196">
        <v>18.72</v>
      </c>
      <c r="D51" s="196">
        <v>89.6</v>
      </c>
      <c r="E51" s="197" t="s">
        <v>471</v>
      </c>
      <c r="F51" s="204" t="s">
        <v>66</v>
      </c>
      <c r="G51" s="199" t="str">
        <f>IFERROR(VLOOKUP(F51,[2]Реестр!A:K,2,0),"")</f>
        <v>100</v>
      </c>
      <c r="H51" s="200">
        <v>40</v>
      </c>
      <c r="I51" s="203">
        <v>3.6</v>
      </c>
      <c r="J51" s="213" t="s">
        <v>479</v>
      </c>
    </row>
    <row r="52" spans="1:11" ht="18.75" x14ac:dyDescent="0.3">
      <c r="A52" s="196">
        <v>2.64</v>
      </c>
      <c r="B52" s="196">
        <v>0.48</v>
      </c>
      <c r="C52" s="196">
        <v>13.36</v>
      </c>
      <c r="D52" s="196">
        <v>77.2</v>
      </c>
      <c r="E52" s="197" t="s">
        <v>471</v>
      </c>
      <c r="F52" s="204" t="s">
        <v>65</v>
      </c>
      <c r="G52" s="199" t="str">
        <f>IFERROR(VLOOKUP(F52,[2]Реестр!A:K,2,0),"")</f>
        <v>100</v>
      </c>
      <c r="H52" s="200">
        <v>40</v>
      </c>
      <c r="I52" s="203">
        <v>3.6</v>
      </c>
      <c r="J52" s="213" t="s">
        <v>539</v>
      </c>
    </row>
    <row r="53" spans="1:11" ht="18.75" x14ac:dyDescent="0.3">
      <c r="A53" s="196"/>
      <c r="B53" s="196"/>
      <c r="C53" s="196"/>
      <c r="D53" s="196"/>
      <c r="E53" s="214"/>
      <c r="F53" s="204"/>
      <c r="G53" s="199"/>
      <c r="H53" s="200"/>
      <c r="I53" s="203"/>
      <c r="J53" s="213" t="s">
        <v>540</v>
      </c>
    </row>
    <row r="54" spans="1:11" ht="18.75" x14ac:dyDescent="0.3">
      <c r="A54" s="464" t="s">
        <v>16</v>
      </c>
      <c r="B54" s="464"/>
      <c r="C54" s="464"/>
      <c r="D54" s="464"/>
      <c r="E54" s="464"/>
      <c r="F54" s="464"/>
      <c r="G54" s="206"/>
      <c r="H54" s="206"/>
      <c r="I54" s="207">
        <f>SUM(I41:I45,I47:I53)</f>
        <v>271.59000000000003</v>
      </c>
      <c r="J54" s="206">
        <v>212.99</v>
      </c>
      <c r="K54" s="208">
        <f>I54-J54</f>
        <v>58.600000000000023</v>
      </c>
    </row>
    <row r="55" spans="1:11" ht="18.75" x14ac:dyDescent="0.3">
      <c r="A55" s="465" t="s">
        <v>33</v>
      </c>
      <c r="B55" s="466"/>
      <c r="C55" s="466"/>
      <c r="D55" s="466"/>
      <c r="E55" s="466"/>
      <c r="F55" s="466"/>
      <c r="G55" s="466"/>
      <c r="H55" s="466"/>
      <c r="I55" s="467"/>
      <c r="J55" s="213"/>
    </row>
    <row r="56" spans="1:11" ht="18.75" x14ac:dyDescent="0.3">
      <c r="A56" s="465" t="s">
        <v>19</v>
      </c>
      <c r="B56" s="466"/>
      <c r="C56" s="466"/>
      <c r="D56" s="466"/>
      <c r="E56" s="466"/>
      <c r="F56" s="466"/>
      <c r="G56" s="466"/>
      <c r="H56" s="466"/>
      <c r="I56" s="467"/>
      <c r="J56" s="213"/>
    </row>
    <row r="57" spans="1:11" ht="18.75" x14ac:dyDescent="0.3">
      <c r="A57" s="209">
        <f>IFERROR(VLOOKUP(F57,[1]Реестр!A:K,3,0)*H57/G57,"")</f>
        <v>5.08</v>
      </c>
      <c r="B57" s="209">
        <f>IFERROR(VLOOKUP(F57,[1]Реестр!A:K,4,0)*H57/G57,"")</f>
        <v>11.55</v>
      </c>
      <c r="C57" s="209">
        <f>IFERROR(VLOOKUP(F57,[1]Реестр!A:K,5,0)*H57/G57,"")</f>
        <v>9.9700000000000006</v>
      </c>
      <c r="D57" s="209">
        <f>IFERROR(VLOOKUP(F57,[1]Реестр!A:K,6,0)*H57/G57,"")</f>
        <v>164.15</v>
      </c>
      <c r="E57" s="210" t="str">
        <f>IFERROR(VLOOKUP(F57,[1]Реестр!A:K,11,0),"")</f>
        <v>1*51</v>
      </c>
      <c r="F57" s="216" t="s">
        <v>91</v>
      </c>
      <c r="G57" s="211" t="str">
        <f>IFERROR(VLOOKUP(F57,[1]Реестр!A:K,2,0),"")</f>
        <v>45</v>
      </c>
      <c r="H57" s="206">
        <v>45</v>
      </c>
      <c r="I57" s="207">
        <v>35.799999999999997</v>
      </c>
      <c r="J57" s="213" t="s">
        <v>20</v>
      </c>
    </row>
    <row r="58" spans="1:11" ht="18.75" x14ac:dyDescent="0.3">
      <c r="A58" s="209">
        <v>9.75</v>
      </c>
      <c r="B58" s="209">
        <v>12.14</v>
      </c>
      <c r="C58" s="209">
        <v>36.06</v>
      </c>
      <c r="D58" s="209">
        <v>291.64</v>
      </c>
      <c r="E58" s="210" t="s">
        <v>133</v>
      </c>
      <c r="F58" s="223" t="s">
        <v>614</v>
      </c>
      <c r="G58" s="211" t="str">
        <f>IFERROR(VLOOKUP(F58,[1]Реестр!A:K,2,0),"")</f>
        <v/>
      </c>
      <c r="H58" s="210">
        <v>250</v>
      </c>
      <c r="I58" s="207">
        <v>41.59</v>
      </c>
      <c r="J58" s="213" t="s">
        <v>537</v>
      </c>
    </row>
    <row r="59" spans="1:11" ht="18.75" x14ac:dyDescent="0.3">
      <c r="A59" s="209">
        <f>IFERROR(VLOOKUP(F59,[1]Реестр!A:K,3,0)*H59/G59,"")</f>
        <v>0.2</v>
      </c>
      <c r="B59" s="209">
        <f>IFERROR(VLOOKUP(F59,[1]Реестр!A:K,4,0)*H59/G59,"")</f>
        <v>0.12</v>
      </c>
      <c r="C59" s="209">
        <f>IFERROR(VLOOKUP(F59,[1]Реестр!A:K,5,0)*H59/G59,"")</f>
        <v>11.44</v>
      </c>
      <c r="D59" s="209">
        <f>IFERROR(VLOOKUP(F59,[1]Реестр!A:K,6,0)*H59/G59,"")</f>
        <v>46.4</v>
      </c>
      <c r="E59" s="210" t="str">
        <f>IFERROR(VLOOKUP(F59,[1]Реестр!A:K,11,0),"")</f>
        <v>12*2</v>
      </c>
      <c r="F59" s="216" t="s">
        <v>371</v>
      </c>
      <c r="G59" s="211" t="str">
        <f>IFERROR(VLOOKUP(F59,[1]Реестр!A:K,2,0),"")</f>
        <v>100</v>
      </c>
      <c r="H59" s="210">
        <v>40</v>
      </c>
      <c r="I59" s="207">
        <v>23.41</v>
      </c>
      <c r="J59" s="213" t="s">
        <v>477</v>
      </c>
    </row>
    <row r="60" spans="1:11" ht="18.75" x14ac:dyDescent="0.3">
      <c r="A60" s="209">
        <f>IFERROR(VLOOKUP(F60,[1]Реестр!A:K,3,0)*H60/G60,"")</f>
        <v>3.6</v>
      </c>
      <c r="B60" s="209">
        <f>IFERROR(VLOOKUP(F60,[1]Реестр!A:K,4,0)*H60/G60,"")</f>
        <v>2.7</v>
      </c>
      <c r="C60" s="209">
        <f>IFERROR(VLOOKUP(F60,[1]Реестр!A:K,5,0)*H60/G60,"")</f>
        <v>22.9</v>
      </c>
      <c r="D60" s="209">
        <f>IFERROR(VLOOKUP(F60,[1]Реестр!A:K,6,0)*H60/G60,"")</f>
        <v>127</v>
      </c>
      <c r="E60" s="210" t="str">
        <f>IFERROR(VLOOKUP(F60,[1]Реестр!A:K,11,0),"")</f>
        <v>11*51</v>
      </c>
      <c r="F60" s="216" t="s">
        <v>342</v>
      </c>
      <c r="G60" s="211">
        <f>IFERROR(VLOOKUP(F60,[1]Реестр!A:K,2,0),"")</f>
        <v>200</v>
      </c>
      <c r="H60" s="206">
        <v>200</v>
      </c>
      <c r="I60" s="207">
        <v>24.16</v>
      </c>
      <c r="J60" s="213" t="s">
        <v>541</v>
      </c>
      <c r="K60" s="237"/>
    </row>
    <row r="61" spans="1:11" ht="18.75" x14ac:dyDescent="0.3">
      <c r="A61" s="209">
        <f>IFERROR(VLOOKUP(F61,[1]Реестр!A:K,3,0)*H61/G61,"")</f>
        <v>2.64</v>
      </c>
      <c r="B61" s="209">
        <f>IFERROR(VLOOKUP(F61,[1]Реестр!A:K,4,0)*H61/G61,"")</f>
        <v>0.48</v>
      </c>
      <c r="C61" s="209">
        <f>IFERROR(VLOOKUP(F61,[1]Реестр!A:K,5,0)*H61/G61,"")</f>
        <v>13.36</v>
      </c>
      <c r="D61" s="209">
        <f>IFERROR(VLOOKUP(F61,[1]Реестр!A:K,6,0)*H61/G61,"")</f>
        <v>77.2</v>
      </c>
      <c r="E61" s="210" t="str">
        <f>IFERROR(VLOOKUP(F61,[1]Реестр!A:K,11,0),"")</f>
        <v>-</v>
      </c>
      <c r="F61" s="217" t="s">
        <v>65</v>
      </c>
      <c r="G61" s="211" t="str">
        <f>IFERROR(VLOOKUP(F61,[1]Реестр!A:K,2,0),"")</f>
        <v>100</v>
      </c>
      <c r="H61" s="206">
        <v>40</v>
      </c>
      <c r="I61" s="207">
        <v>3.6</v>
      </c>
      <c r="J61" s="213" t="s">
        <v>475</v>
      </c>
      <c r="K61" s="237"/>
    </row>
    <row r="62" spans="1:11" ht="18.75" x14ac:dyDescent="0.3">
      <c r="A62" s="465" t="s">
        <v>25</v>
      </c>
      <c r="B62" s="466"/>
      <c r="C62" s="466"/>
      <c r="D62" s="466"/>
      <c r="E62" s="466"/>
      <c r="F62" s="466"/>
      <c r="G62" s="466"/>
      <c r="H62" s="466"/>
      <c r="I62" s="467"/>
      <c r="J62" s="201" t="str">
        <f>IFERROR(VLOOKUP(O62,Реестр!#REF!,3,0)*Q62/P62,"")</f>
        <v/>
      </c>
      <c r="K62" s="237"/>
    </row>
    <row r="63" spans="1:11" s="234" customFormat="1" ht="18.75" x14ac:dyDescent="0.25">
      <c r="A63" s="198">
        <v>14.01</v>
      </c>
      <c r="B63" s="196">
        <v>6.2079999999999993</v>
      </c>
      <c r="C63" s="196">
        <v>12.072000000000001</v>
      </c>
      <c r="D63" s="196">
        <v>117.68388800000001</v>
      </c>
      <c r="E63" s="197" t="s">
        <v>628</v>
      </c>
      <c r="F63" s="198" t="s">
        <v>629</v>
      </c>
      <c r="G63" s="199" t="str">
        <f>IFERROR(VLOOKUP(F63,[2]Реестр!A:K,2,0),"")</f>
        <v/>
      </c>
      <c r="H63" s="197">
        <v>100</v>
      </c>
      <c r="I63" s="236">
        <v>27.91</v>
      </c>
      <c r="J63" s="239" t="s">
        <v>538</v>
      </c>
      <c r="K63" s="240"/>
    </row>
    <row r="64" spans="1:11" ht="18.75" x14ac:dyDescent="0.3">
      <c r="A64" s="196">
        <v>8.9166666666666661</v>
      </c>
      <c r="B64" s="196">
        <v>7.75</v>
      </c>
      <c r="C64" s="196">
        <v>19.5</v>
      </c>
      <c r="D64" s="196">
        <v>185</v>
      </c>
      <c r="E64" s="197" t="s">
        <v>213</v>
      </c>
      <c r="F64" s="198" t="s">
        <v>212</v>
      </c>
      <c r="G64" s="199" t="str">
        <f>IFERROR(VLOOKUP(F64,[2]Реестр!A:K,2,0),"")</f>
        <v>300</v>
      </c>
      <c r="H64" s="200">
        <v>250</v>
      </c>
      <c r="I64" s="203">
        <v>42</v>
      </c>
      <c r="J64" s="213" t="s">
        <v>478</v>
      </c>
      <c r="K64" s="237"/>
    </row>
    <row r="65" spans="1:12" ht="18.75" x14ac:dyDescent="0.3">
      <c r="A65" s="196">
        <v>21.712499999999999</v>
      </c>
      <c r="B65" s="196">
        <v>11.317500000000001</v>
      </c>
      <c r="C65" s="196">
        <v>38.486249999999998</v>
      </c>
      <c r="D65" s="196">
        <v>342.65249999999997</v>
      </c>
      <c r="E65" s="197" t="s">
        <v>630</v>
      </c>
      <c r="F65" s="198" t="s">
        <v>631</v>
      </c>
      <c r="G65" s="199" t="str">
        <f>IFERROR(VLOOKUP(F65,[2]Реестр!A:K,2,0),"")</f>
        <v/>
      </c>
      <c r="H65" s="200">
        <v>250</v>
      </c>
      <c r="I65" s="200">
        <v>109.55</v>
      </c>
      <c r="J65" s="213" t="s">
        <v>537</v>
      </c>
      <c r="K65" s="237"/>
    </row>
    <row r="66" spans="1:12" ht="18.75" x14ac:dyDescent="0.3">
      <c r="A66" s="196">
        <v>0.2</v>
      </c>
      <c r="B66" s="196">
        <v>0</v>
      </c>
      <c r="C66" s="196">
        <v>13.7</v>
      </c>
      <c r="D66" s="196">
        <v>53</v>
      </c>
      <c r="E66" s="197" t="s">
        <v>353</v>
      </c>
      <c r="F66" s="198" t="s">
        <v>499</v>
      </c>
      <c r="G66" s="199" t="str">
        <f>IFERROR(VLOOKUP(F66,[2]Реестр!A:K,2,0),"")</f>
        <v>200</v>
      </c>
      <c r="H66" s="200">
        <v>200</v>
      </c>
      <c r="I66" s="203">
        <v>4.38</v>
      </c>
      <c r="J66" s="213" t="s">
        <v>29</v>
      </c>
      <c r="K66" s="237"/>
    </row>
    <row r="67" spans="1:12" ht="18.75" x14ac:dyDescent="0.3">
      <c r="A67" s="196">
        <v>3.3</v>
      </c>
      <c r="B67" s="196">
        <v>0.3</v>
      </c>
      <c r="C67" s="196">
        <v>23.4</v>
      </c>
      <c r="D67" s="196">
        <v>112</v>
      </c>
      <c r="E67" s="197" t="s">
        <v>471</v>
      </c>
      <c r="F67" s="204" t="s">
        <v>66</v>
      </c>
      <c r="G67" s="199" t="str">
        <f>IFERROR(VLOOKUP(F67,[2]Реестр!A:K,2,0),"")</f>
        <v>100</v>
      </c>
      <c r="H67" s="200">
        <v>50</v>
      </c>
      <c r="I67" s="203">
        <v>4.5</v>
      </c>
      <c r="J67" s="213" t="s">
        <v>479</v>
      </c>
      <c r="K67" s="208"/>
    </row>
    <row r="68" spans="1:12" ht="18.75" x14ac:dyDescent="0.3">
      <c r="A68" s="196">
        <v>3.3</v>
      </c>
      <c r="B68" s="196">
        <v>0.6</v>
      </c>
      <c r="C68" s="196">
        <v>16.7</v>
      </c>
      <c r="D68" s="196">
        <v>96.5</v>
      </c>
      <c r="E68" s="197" t="s">
        <v>471</v>
      </c>
      <c r="F68" s="204" t="s">
        <v>65</v>
      </c>
      <c r="G68" s="199" t="str">
        <f>IFERROR(VLOOKUP(F68,[2]Реестр!A:K,2,0),"")</f>
        <v>100</v>
      </c>
      <c r="H68" s="200">
        <v>50</v>
      </c>
      <c r="I68" s="203">
        <v>4.5</v>
      </c>
      <c r="J68" s="213" t="s">
        <v>23</v>
      </c>
    </row>
    <row r="69" spans="1:12" ht="18.75" x14ac:dyDescent="0.3">
      <c r="A69" s="196"/>
      <c r="B69" s="196"/>
      <c r="C69" s="196"/>
      <c r="D69" s="196"/>
      <c r="E69" s="214"/>
      <c r="F69" s="204"/>
      <c r="G69" s="199"/>
      <c r="H69" s="200"/>
      <c r="I69" s="203"/>
      <c r="J69" s="213" t="s">
        <v>540</v>
      </c>
    </row>
    <row r="70" spans="1:12" ht="18" customHeight="1" x14ac:dyDescent="0.3">
      <c r="A70" s="464" t="s">
        <v>16</v>
      </c>
      <c r="B70" s="464"/>
      <c r="C70" s="464"/>
      <c r="D70" s="464"/>
      <c r="E70" s="464"/>
      <c r="F70" s="464"/>
      <c r="G70" s="206"/>
      <c r="H70" s="206"/>
      <c r="I70" s="207">
        <f>SUM(I57:I61)+SUM(I63:I69)</f>
        <v>321.39999999999998</v>
      </c>
      <c r="J70" s="201">
        <v>246.31</v>
      </c>
      <c r="K70" s="208">
        <f>J70-I70</f>
        <v>-75.089999999999975</v>
      </c>
    </row>
    <row r="71" spans="1:12" ht="18.75" x14ac:dyDescent="0.3">
      <c r="A71" s="465" t="s">
        <v>34</v>
      </c>
      <c r="B71" s="466"/>
      <c r="C71" s="466"/>
      <c r="D71" s="466"/>
      <c r="E71" s="466"/>
      <c r="F71" s="466"/>
      <c r="G71" s="466"/>
      <c r="H71" s="466"/>
      <c r="I71" s="467"/>
      <c r="J71" s="206"/>
      <c r="K71" s="208"/>
    </row>
    <row r="72" spans="1:12" ht="18.75" x14ac:dyDescent="0.25">
      <c r="A72" s="209">
        <v>20.9</v>
      </c>
      <c r="B72" s="209">
        <v>3.6</v>
      </c>
      <c r="C72" s="209">
        <v>6.6</v>
      </c>
      <c r="D72" s="209">
        <v>114</v>
      </c>
      <c r="E72" s="210" t="s">
        <v>626</v>
      </c>
      <c r="F72" s="223" t="s">
        <v>627</v>
      </c>
      <c r="G72" s="211" t="str">
        <f>IFERROR(VLOOKUP(F72,[1]Реестр!A:K,2,0),"")</f>
        <v/>
      </c>
      <c r="H72" s="210">
        <v>30</v>
      </c>
      <c r="I72" s="230">
        <v>7.43</v>
      </c>
    </row>
    <row r="73" spans="1:12" ht="18.75" x14ac:dyDescent="0.3">
      <c r="A73" s="196">
        <v>21.712499999999999</v>
      </c>
      <c r="B73" s="196">
        <v>11.317500000000001</v>
      </c>
      <c r="C73" s="196">
        <v>38.486249999999998</v>
      </c>
      <c r="D73" s="196">
        <v>342.65249999999997</v>
      </c>
      <c r="E73" s="197" t="s">
        <v>630</v>
      </c>
      <c r="F73" s="198" t="s">
        <v>631</v>
      </c>
      <c r="G73" s="199" t="str">
        <f>IFERROR(VLOOKUP(F73,[2]Реестр!A:K,2,0),"")</f>
        <v/>
      </c>
      <c r="H73" s="200">
        <v>250</v>
      </c>
      <c r="I73" s="200">
        <v>109.55</v>
      </c>
    </row>
    <row r="74" spans="1:12" ht="18.75" x14ac:dyDescent="0.3">
      <c r="A74" s="196">
        <v>0.2</v>
      </c>
      <c r="B74" s="196">
        <v>0</v>
      </c>
      <c r="C74" s="196">
        <v>13.7</v>
      </c>
      <c r="D74" s="196">
        <v>53</v>
      </c>
      <c r="E74" s="197" t="s">
        <v>353</v>
      </c>
      <c r="F74" s="198" t="s">
        <v>499</v>
      </c>
      <c r="G74" s="199" t="str">
        <f>IFERROR(VLOOKUP(F74,[2]Реестр!A:K,2,0),"")</f>
        <v>200</v>
      </c>
      <c r="H74" s="200">
        <v>200</v>
      </c>
      <c r="I74" s="203">
        <v>4.38</v>
      </c>
    </row>
    <row r="75" spans="1:12" ht="18.75" x14ac:dyDescent="0.3">
      <c r="A75" s="196">
        <v>2.64</v>
      </c>
      <c r="B75" s="196">
        <v>0.24</v>
      </c>
      <c r="C75" s="196">
        <v>18.72</v>
      </c>
      <c r="D75" s="196">
        <v>89.6</v>
      </c>
      <c r="E75" s="197" t="s">
        <v>471</v>
      </c>
      <c r="F75" s="204" t="s">
        <v>66</v>
      </c>
      <c r="G75" s="199" t="str">
        <f>IFERROR(VLOOKUP(F75,[2]Реестр!A:K,2,0),"")</f>
        <v>100</v>
      </c>
      <c r="H75" s="200">
        <v>40</v>
      </c>
      <c r="I75" s="203">
        <v>3.6</v>
      </c>
    </row>
    <row r="76" spans="1:12" ht="18.75" x14ac:dyDescent="0.3">
      <c r="A76" s="196">
        <v>2.64</v>
      </c>
      <c r="B76" s="196">
        <v>0.48</v>
      </c>
      <c r="C76" s="196">
        <v>13.36</v>
      </c>
      <c r="D76" s="196">
        <v>77.2</v>
      </c>
      <c r="E76" s="197" t="s">
        <v>471</v>
      </c>
      <c r="F76" s="204" t="s">
        <v>65</v>
      </c>
      <c r="G76" s="199" t="str">
        <f>IFERROR(VLOOKUP(F76,[2]Реестр!A:K,2,0),"")</f>
        <v>100</v>
      </c>
      <c r="H76" s="200">
        <v>40</v>
      </c>
      <c r="I76" s="203">
        <v>3.6</v>
      </c>
    </row>
    <row r="77" spans="1:12" ht="18.75" x14ac:dyDescent="0.3">
      <c r="A77" s="196"/>
      <c r="B77" s="196"/>
      <c r="C77" s="196"/>
      <c r="D77" s="196"/>
      <c r="E77" s="197"/>
      <c r="F77" s="204"/>
      <c r="G77" s="199"/>
      <c r="H77" s="200"/>
      <c r="I77" s="203"/>
    </row>
    <row r="78" spans="1:12" ht="18.75" x14ac:dyDescent="0.3">
      <c r="A78" s="453" t="s">
        <v>16</v>
      </c>
      <c r="B78" s="454"/>
      <c r="C78" s="454"/>
      <c r="D78" s="454"/>
      <c r="E78" s="454"/>
      <c r="F78" s="455"/>
      <c r="G78" s="205"/>
      <c r="H78" s="206"/>
      <c r="I78" s="207">
        <f>SUM(I72:I77)</f>
        <v>128.55999999999997</v>
      </c>
      <c r="J78" s="215">
        <v>98.52</v>
      </c>
      <c r="L78" s="208">
        <f>J78-I78</f>
        <v>-30.039999999999978</v>
      </c>
    </row>
    <row r="79" spans="1:12" ht="18.75" hidden="1" x14ac:dyDescent="0.25">
      <c r="A79" s="477" t="s">
        <v>35</v>
      </c>
      <c r="B79" s="478"/>
      <c r="C79" s="478"/>
      <c r="D79" s="478"/>
      <c r="E79" s="478"/>
      <c r="F79" s="478"/>
      <c r="G79" s="478"/>
      <c r="H79" s="478"/>
      <c r="I79" s="479"/>
    </row>
    <row r="80" spans="1:12" ht="18.75" hidden="1" x14ac:dyDescent="0.3">
      <c r="A80" s="219">
        <v>7.7</v>
      </c>
      <c r="B80" s="219">
        <v>7.42</v>
      </c>
      <c r="C80" s="219">
        <v>32.090000000000003</v>
      </c>
      <c r="D80" s="219">
        <v>225.88</v>
      </c>
      <c r="E80" s="261" t="s">
        <v>408</v>
      </c>
      <c r="F80" s="216" t="s">
        <v>605</v>
      </c>
      <c r="G80" s="211" t="str">
        <f>IFERROR(VLOOKUP(F80,[2]Реестр!A:K,2,0),"")</f>
        <v/>
      </c>
      <c r="H80" s="206">
        <v>100</v>
      </c>
      <c r="I80" s="207">
        <v>42</v>
      </c>
      <c r="K80" s="208"/>
    </row>
    <row r="81" spans="1:12" ht="18.75" hidden="1" x14ac:dyDescent="0.3">
      <c r="A81" s="453" t="s">
        <v>16</v>
      </c>
      <c r="B81" s="454"/>
      <c r="C81" s="454"/>
      <c r="D81" s="454"/>
      <c r="E81" s="454"/>
      <c r="F81" s="455"/>
      <c r="G81" s="205"/>
      <c r="H81" s="206"/>
      <c r="I81" s="207">
        <f>I80</f>
        <v>42</v>
      </c>
      <c r="J81" s="215">
        <v>29</v>
      </c>
    </row>
    <row r="82" spans="1:12" ht="18.75" hidden="1" x14ac:dyDescent="0.3">
      <c r="A82" s="465" t="s">
        <v>36</v>
      </c>
      <c r="B82" s="466"/>
      <c r="C82" s="466"/>
      <c r="D82" s="466"/>
      <c r="E82" s="466"/>
      <c r="F82" s="466"/>
      <c r="G82" s="466"/>
      <c r="H82" s="466"/>
      <c r="I82" s="467"/>
    </row>
    <row r="83" spans="1:12" ht="18.75" hidden="1" x14ac:dyDescent="0.3">
      <c r="A83" s="196">
        <v>8.9166666666666661</v>
      </c>
      <c r="B83" s="196">
        <v>7.75</v>
      </c>
      <c r="C83" s="196">
        <v>19.5</v>
      </c>
      <c r="D83" s="196">
        <v>185</v>
      </c>
      <c r="E83" s="197" t="s">
        <v>213</v>
      </c>
      <c r="F83" s="198" t="s">
        <v>212</v>
      </c>
      <c r="G83" s="211" t="str">
        <f>IFERROR(VLOOKUP(F83,[2]Реестр!A:K,2,0),"")</f>
        <v>300</v>
      </c>
      <c r="H83" s="206">
        <v>250</v>
      </c>
      <c r="I83" s="207">
        <v>42</v>
      </c>
    </row>
    <row r="84" spans="1:12" ht="18.75" hidden="1" x14ac:dyDescent="0.3">
      <c r="A84" s="453" t="s">
        <v>16</v>
      </c>
      <c r="B84" s="454"/>
      <c r="C84" s="454"/>
      <c r="D84" s="454"/>
      <c r="E84" s="454"/>
      <c r="F84" s="455"/>
      <c r="G84" s="205"/>
      <c r="H84" s="206"/>
      <c r="I84" s="207">
        <f>SUM(I83:I83)</f>
        <v>42</v>
      </c>
      <c r="J84" s="215">
        <v>27</v>
      </c>
    </row>
    <row r="85" spans="1:12" ht="18.75" x14ac:dyDescent="0.3">
      <c r="A85" s="465" t="s">
        <v>503</v>
      </c>
      <c r="B85" s="466"/>
      <c r="C85" s="466"/>
      <c r="D85" s="466"/>
      <c r="E85" s="466"/>
      <c r="F85" s="466"/>
      <c r="G85" s="466"/>
      <c r="H85" s="466"/>
      <c r="I85" s="467"/>
    </row>
    <row r="86" spans="1:12" s="234" customFormat="1" ht="27" customHeight="1" x14ac:dyDescent="0.25">
      <c r="A86" s="198">
        <v>14.01</v>
      </c>
      <c r="B86" s="196">
        <v>6.2079999999999993</v>
      </c>
      <c r="C86" s="196">
        <v>12.072000000000001</v>
      </c>
      <c r="D86" s="196">
        <v>117.68388800000001</v>
      </c>
      <c r="E86" s="197" t="s">
        <v>628</v>
      </c>
      <c r="F86" s="198" t="s">
        <v>629</v>
      </c>
      <c r="G86" s="199" t="str">
        <f>IFERROR(VLOOKUP(F86,[2]Реестр!A:K,2,0),"")</f>
        <v/>
      </c>
      <c r="H86" s="197">
        <v>100</v>
      </c>
      <c r="I86" s="236">
        <v>27.91</v>
      </c>
      <c r="J86" s="268"/>
    </row>
    <row r="87" spans="1:12" ht="18.75" x14ac:dyDescent="0.3">
      <c r="A87" s="196">
        <v>8.9166666666666661</v>
      </c>
      <c r="B87" s="196">
        <v>7.75</v>
      </c>
      <c r="C87" s="196">
        <v>19.5</v>
      </c>
      <c r="D87" s="196">
        <v>185</v>
      </c>
      <c r="E87" s="197" t="s">
        <v>213</v>
      </c>
      <c r="F87" s="198" t="s">
        <v>212</v>
      </c>
      <c r="G87" s="199" t="str">
        <f>IFERROR(VLOOKUP(F87,[2]Реестр!A:K,2,0),"")</f>
        <v>300</v>
      </c>
      <c r="H87" s="200">
        <v>250</v>
      </c>
      <c r="I87" s="203">
        <v>42</v>
      </c>
    </row>
    <row r="88" spans="1:12" ht="18.75" x14ac:dyDescent="0.3">
      <c r="A88" s="196">
        <v>21.712499999999999</v>
      </c>
      <c r="B88" s="196">
        <v>11.317500000000001</v>
      </c>
      <c r="C88" s="196">
        <v>38.486249999999998</v>
      </c>
      <c r="D88" s="196">
        <v>342.65249999999997</v>
      </c>
      <c r="E88" s="197" t="s">
        <v>630</v>
      </c>
      <c r="F88" s="198" t="s">
        <v>631</v>
      </c>
      <c r="G88" s="199" t="str">
        <f>IFERROR(VLOOKUP(F88,[2]Реестр!A:K,2,0),"")</f>
        <v/>
      </c>
      <c r="H88" s="200">
        <v>250</v>
      </c>
      <c r="I88" s="200">
        <v>109.55</v>
      </c>
    </row>
    <row r="89" spans="1:12" ht="18.75" x14ac:dyDescent="0.3">
      <c r="A89" s="196">
        <v>0.2</v>
      </c>
      <c r="B89" s="196">
        <v>0</v>
      </c>
      <c r="C89" s="196">
        <v>13.7</v>
      </c>
      <c r="D89" s="196">
        <v>53</v>
      </c>
      <c r="E89" s="197" t="s">
        <v>353</v>
      </c>
      <c r="F89" s="198" t="s">
        <v>499</v>
      </c>
      <c r="G89" s="199" t="str">
        <f>IFERROR(VLOOKUP(F89,[2]Реестр!A:K,2,0),"")</f>
        <v>200</v>
      </c>
      <c r="H89" s="200">
        <v>200</v>
      </c>
      <c r="I89" s="203">
        <v>4.38</v>
      </c>
    </row>
    <row r="90" spans="1:12" ht="18.75" x14ac:dyDescent="0.3">
      <c r="A90" s="196">
        <v>3.3</v>
      </c>
      <c r="B90" s="196">
        <v>0.3</v>
      </c>
      <c r="C90" s="196">
        <v>23.4</v>
      </c>
      <c r="D90" s="196">
        <v>112</v>
      </c>
      <c r="E90" s="197" t="s">
        <v>471</v>
      </c>
      <c r="F90" s="204" t="s">
        <v>66</v>
      </c>
      <c r="G90" s="199" t="str">
        <f>IFERROR(VLOOKUP(F90,[2]Реестр!A:K,2,0),"")</f>
        <v>100</v>
      </c>
      <c r="H90" s="200">
        <v>50</v>
      </c>
      <c r="I90" s="203">
        <v>4.5</v>
      </c>
    </row>
    <row r="91" spans="1:12" ht="18.75" x14ac:dyDescent="0.3">
      <c r="A91" s="196">
        <v>3.3</v>
      </c>
      <c r="B91" s="196">
        <v>0.6</v>
      </c>
      <c r="C91" s="196">
        <v>16.7</v>
      </c>
      <c r="D91" s="196">
        <v>96.5</v>
      </c>
      <c r="E91" s="197" t="s">
        <v>471</v>
      </c>
      <c r="F91" s="204" t="s">
        <v>65</v>
      </c>
      <c r="G91" s="199" t="str">
        <f>IFERROR(VLOOKUP(F91,[2]Реестр!A:K,2,0),"")</f>
        <v>100</v>
      </c>
      <c r="H91" s="200">
        <v>50</v>
      </c>
      <c r="I91" s="203">
        <v>4.5</v>
      </c>
    </row>
    <row r="92" spans="1:12" ht="18.75" x14ac:dyDescent="0.3">
      <c r="A92" s="196"/>
      <c r="B92" s="196"/>
      <c r="C92" s="196"/>
      <c r="D92" s="196"/>
      <c r="E92" s="214"/>
      <c r="F92" s="204"/>
      <c r="G92" s="199"/>
      <c r="H92" s="200"/>
      <c r="I92" s="203"/>
      <c r="K92" s="208"/>
    </row>
    <row r="93" spans="1:12" ht="18.75" x14ac:dyDescent="0.3">
      <c r="A93" s="464" t="s">
        <v>16</v>
      </c>
      <c r="B93" s="464"/>
      <c r="C93" s="464"/>
      <c r="D93" s="464"/>
      <c r="E93" s="464"/>
      <c r="F93" s="464"/>
      <c r="G93" s="205"/>
      <c r="H93" s="206"/>
      <c r="I93" s="207">
        <f>SUM(I86:I92)</f>
        <v>192.83999999999997</v>
      </c>
      <c r="J93" s="215">
        <v>147.79</v>
      </c>
      <c r="L93" s="208">
        <f>J93-I93</f>
        <v>-45.049999999999983</v>
      </c>
    </row>
    <row r="94" spans="1:12" ht="18.75" hidden="1" x14ac:dyDescent="0.3">
      <c r="A94" s="462" t="s">
        <v>544</v>
      </c>
      <c r="B94" s="462"/>
      <c r="C94" s="462"/>
      <c r="D94" s="462"/>
      <c r="E94" s="462"/>
      <c r="F94" s="462"/>
      <c r="G94" s="462"/>
      <c r="H94" s="462"/>
      <c r="I94" s="462"/>
      <c r="K94" s="208"/>
    </row>
    <row r="95" spans="1:12" ht="18.75" hidden="1" customHeight="1" x14ac:dyDescent="0.25">
      <c r="A95" s="209">
        <f>IFERROR(VLOOKUP(F95,[1]Реестр!A:K,3,0)*H95/G95,"")</f>
        <v>5.08</v>
      </c>
      <c r="B95" s="209">
        <f>IFERROR(VLOOKUP(F95,[1]Реестр!A:K,4,0)*H95/G95,"")</f>
        <v>11.55</v>
      </c>
      <c r="C95" s="209">
        <f>IFERROR(VLOOKUP(F95,[1]Реестр!A:K,5,0)*H95/G95,"")</f>
        <v>9.9700000000000006</v>
      </c>
      <c r="D95" s="209">
        <f>IFERROR(VLOOKUP(F95,[1]Реестр!A:K,6,0)*H95/G95,"")</f>
        <v>164.15</v>
      </c>
      <c r="E95" s="210" t="str">
        <f>IFERROR(VLOOKUP(F95,[1]Реестр!A:K,11,0),"")</f>
        <v>1*51</v>
      </c>
      <c r="F95" s="216" t="s">
        <v>91</v>
      </c>
      <c r="G95" s="211" t="str">
        <f>IFERROR(VLOOKUP(F95,[1]Реестр!A:K,2,0),"")</f>
        <v>45</v>
      </c>
      <c r="H95" s="143">
        <v>45</v>
      </c>
      <c r="I95" s="450">
        <v>108.64</v>
      </c>
      <c r="K95" s="208"/>
    </row>
    <row r="96" spans="1:12" ht="33.75" hidden="1" customHeight="1" x14ac:dyDescent="0.25">
      <c r="A96" s="209">
        <f>IFERROR(VLOOKUP(F96,[1]Реестр!A:K,3,0)*H96/G96,"")</f>
        <v>6.3749999999999991</v>
      </c>
      <c r="B96" s="209">
        <f>IFERROR(VLOOKUP(F96,[1]Реестр!A:K,4,0)*H96/G96,"")</f>
        <v>5.7499999999999991</v>
      </c>
      <c r="C96" s="209">
        <f>IFERROR(VLOOKUP(F96,[1]Реестр!A:K,5,0)*H96/G96,"")</f>
        <v>0.375</v>
      </c>
      <c r="D96" s="209">
        <f>IFERROR(VLOOKUP(F96,[1]Реестр!A:K,6,0)*H96/G96,"")</f>
        <v>78.75</v>
      </c>
      <c r="E96" s="210" t="str">
        <f>IFERROR(VLOOKUP(F96,[1]Реестр!A:K,11,0),"")</f>
        <v>4*57</v>
      </c>
      <c r="F96" s="216" t="s">
        <v>162</v>
      </c>
      <c r="G96" s="211" t="str">
        <f>IFERROR(VLOOKUP(F96,[1]Реестр!A:K,2,0),"")</f>
        <v>40</v>
      </c>
      <c r="H96" s="143">
        <v>50</v>
      </c>
      <c r="I96" s="451"/>
      <c r="K96" s="208"/>
    </row>
    <row r="97" spans="1:12" ht="45" hidden="1" customHeight="1" x14ac:dyDescent="0.25">
      <c r="A97" s="241">
        <v>8.1999999999999993</v>
      </c>
      <c r="B97" s="241">
        <v>8.4</v>
      </c>
      <c r="C97" s="241">
        <v>36.200000000000003</v>
      </c>
      <c r="D97" s="241">
        <v>244</v>
      </c>
      <c r="E97" s="242" t="str">
        <f>"2/66 (МР 2.4.0162-19. 2.4.)"</f>
        <v>2/66 (МР 2.4.0162-19. 2.4.)</v>
      </c>
      <c r="F97" s="228" t="s">
        <v>546</v>
      </c>
      <c r="G97" s="211" t="str">
        <f>IFERROR(VLOOKUP(F97,[1]Реестр!A:K,2,0),"")</f>
        <v>250</v>
      </c>
      <c r="H97" s="143">
        <v>200</v>
      </c>
      <c r="I97" s="451"/>
      <c r="K97" s="208"/>
    </row>
    <row r="98" spans="1:12" ht="30" hidden="1" customHeight="1" x14ac:dyDescent="0.25">
      <c r="A98" s="243">
        <v>4.03</v>
      </c>
      <c r="B98" s="243">
        <v>3.19</v>
      </c>
      <c r="C98" s="243">
        <v>6.87</v>
      </c>
      <c r="D98" s="243">
        <v>68.87885</v>
      </c>
      <c r="E98" s="242" t="str">
        <f>"11/72 (2014 № 11.8)"</f>
        <v>11/72 (2014 № 11.8)</v>
      </c>
      <c r="F98" s="228" t="s">
        <v>564</v>
      </c>
      <c r="G98" s="211" t="str">
        <f>IFERROR(VLOOKUP(F98,[1]Реестр!A:K,2,0),"")</f>
        <v/>
      </c>
      <c r="H98" s="143" t="str">
        <f>"200"</f>
        <v>200</v>
      </c>
      <c r="I98" s="451"/>
      <c r="K98" s="208"/>
    </row>
    <row r="99" spans="1:12" ht="18.75" hidden="1" customHeight="1" x14ac:dyDescent="0.25">
      <c r="A99" s="209">
        <f>IFERROR(VLOOKUP(F99,[1]Реестр!A:K,3,0)*H99/G99,"")</f>
        <v>1.32</v>
      </c>
      <c r="B99" s="209">
        <f>IFERROR(VLOOKUP(F99,[1]Реестр!A:K,4,0)*H99/G99,"")</f>
        <v>0.24</v>
      </c>
      <c r="C99" s="209">
        <f>IFERROR(VLOOKUP(F99,[1]Реестр!A:K,5,0)*H99/G99,"")</f>
        <v>6.68</v>
      </c>
      <c r="D99" s="209">
        <f>IFERROR(VLOOKUP(F99,[1]Реестр!A:K,6,0)*H99/G99,"")</f>
        <v>38.6</v>
      </c>
      <c r="E99" s="210" t="str">
        <f>IFERROR(VLOOKUP(F99,[1]Реестр!A:K,11,0),"")</f>
        <v>-</v>
      </c>
      <c r="F99" s="217" t="s">
        <v>65</v>
      </c>
      <c r="G99" s="211" t="str">
        <f>IFERROR(VLOOKUP(F99,[1]Реестр!A:K,2,0),"")</f>
        <v>100</v>
      </c>
      <c r="H99" s="229" t="str">
        <f>"20"</f>
        <v>20</v>
      </c>
      <c r="I99" s="452"/>
      <c r="K99" s="208"/>
    </row>
    <row r="100" spans="1:12" ht="18.75" hidden="1" x14ac:dyDescent="0.3">
      <c r="A100" s="464" t="s">
        <v>16</v>
      </c>
      <c r="B100" s="464"/>
      <c r="C100" s="464"/>
      <c r="D100" s="464"/>
      <c r="E100" s="464"/>
      <c r="F100" s="464"/>
      <c r="G100" s="205"/>
      <c r="H100" s="206"/>
      <c r="I100" s="207">
        <f>SUM(I95:I99)</f>
        <v>108.64</v>
      </c>
      <c r="K100" s="208"/>
    </row>
    <row r="101" spans="1:12" ht="18.75" hidden="1" x14ac:dyDescent="0.3">
      <c r="A101" s="462" t="s">
        <v>545</v>
      </c>
      <c r="B101" s="462"/>
      <c r="C101" s="462"/>
      <c r="D101" s="462"/>
      <c r="E101" s="462"/>
      <c r="F101" s="462"/>
      <c r="G101" s="462"/>
      <c r="H101" s="462"/>
      <c r="I101" s="462"/>
      <c r="J101" s="215">
        <v>85.2</v>
      </c>
      <c r="K101" s="208"/>
      <c r="L101" s="208">
        <f>J101-I101</f>
        <v>85.2</v>
      </c>
    </row>
    <row r="102" spans="1:12" ht="18.75" hidden="1" customHeight="1" x14ac:dyDescent="0.25">
      <c r="A102" s="209">
        <f>IFERROR(VLOOKUP(F102,[1]Реестр!A:K,3,0)*H102/G102,"")</f>
        <v>6.3749999999999991</v>
      </c>
      <c r="B102" s="209">
        <f>IFERROR(VLOOKUP(F102,[1]Реестр!A:K,4,0)*H102/G102,"")</f>
        <v>5.7499999999999991</v>
      </c>
      <c r="C102" s="209">
        <f>IFERROR(VLOOKUP(F102,[1]Реестр!A:K,5,0)*H102/G102,"")</f>
        <v>0.375</v>
      </c>
      <c r="D102" s="209">
        <f>IFERROR(VLOOKUP(F102,[1]Реестр!A:K,6,0)*H102/G102,"")</f>
        <v>78.75</v>
      </c>
      <c r="E102" s="210" t="str">
        <f>IFERROR(VLOOKUP(F102,[1]Реестр!A:K,11,0),"")</f>
        <v>4*57</v>
      </c>
      <c r="F102" s="216" t="s">
        <v>162</v>
      </c>
      <c r="G102" s="211" t="str">
        <f>IFERROR(VLOOKUP(F102,[1]Реестр!A:K,2,0),"")</f>
        <v>40</v>
      </c>
      <c r="H102" s="143">
        <v>50</v>
      </c>
      <c r="I102" s="450">
        <v>108.64</v>
      </c>
      <c r="K102" s="208"/>
    </row>
    <row r="103" spans="1:12" ht="18.75" hidden="1" customHeight="1" x14ac:dyDescent="0.25">
      <c r="A103" s="209">
        <v>7.23</v>
      </c>
      <c r="B103" s="243">
        <v>12.83</v>
      </c>
      <c r="C103" s="243">
        <v>34.92</v>
      </c>
      <c r="D103" s="243">
        <v>275.69060599999995</v>
      </c>
      <c r="E103" s="242" t="str">
        <f>"2/73 (МР 2.4.0162-19 № 54-29к-2020)"</f>
        <v>2/73 (МР 2.4.0162-19 № 54-29к-2020)</v>
      </c>
      <c r="F103" s="228" t="s">
        <v>606</v>
      </c>
      <c r="G103" s="211" t="str">
        <f>IFERROR(VLOOKUP(F103,[1]Реестр!A:K,2,0),"")</f>
        <v/>
      </c>
      <c r="H103" s="143">
        <v>200</v>
      </c>
      <c r="I103" s="451"/>
      <c r="K103" s="208"/>
    </row>
    <row r="104" spans="1:12" ht="18.75" hidden="1" customHeight="1" x14ac:dyDescent="0.25">
      <c r="A104" s="209">
        <f>IFERROR(VLOOKUP(F104,[1]Реестр!A:K,3,0)*H104/G104,"")</f>
        <v>0.17499999999999999</v>
      </c>
      <c r="B104" s="209">
        <f>IFERROR(VLOOKUP(F104,[1]Реестр!A:K,4,0)*H104/G104,"")</f>
        <v>0.105</v>
      </c>
      <c r="C104" s="209">
        <f>IFERROR(VLOOKUP(F104,[1]Реестр!A:K,5,0)*H104/G104,"")</f>
        <v>10.01</v>
      </c>
      <c r="D104" s="209">
        <f>IFERROR(VLOOKUP(F104,[1]Реестр!A:K,6,0)*H104/G104,"")</f>
        <v>40.6</v>
      </c>
      <c r="E104" s="210" t="str">
        <f>IFERROR(VLOOKUP(F104,[1]Реестр!A:K,11,0),"")</f>
        <v>12*2</v>
      </c>
      <c r="F104" s="216" t="s">
        <v>371</v>
      </c>
      <c r="G104" s="211" t="str">
        <f>IFERROR(VLOOKUP(F104,[1]Реестр!A:K,2,0),"")</f>
        <v>100</v>
      </c>
      <c r="H104" s="143">
        <v>35</v>
      </c>
      <c r="I104" s="451"/>
      <c r="K104" s="208"/>
    </row>
    <row r="105" spans="1:12" ht="18.75" hidden="1" customHeight="1" x14ac:dyDescent="0.25">
      <c r="A105" s="243">
        <v>0.18</v>
      </c>
      <c r="B105" s="243">
        <v>0.04</v>
      </c>
      <c r="C105" s="243">
        <v>13.75</v>
      </c>
      <c r="D105" s="243">
        <v>53.136642799999997</v>
      </c>
      <c r="E105" s="210" t="s">
        <v>353</v>
      </c>
      <c r="F105" s="228" t="s">
        <v>563</v>
      </c>
      <c r="G105" s="211" t="str">
        <f>IFERROR(VLOOKUP(F105,[1]Реестр!A:K,2,0),"")</f>
        <v/>
      </c>
      <c r="H105" s="143" t="str">
        <f>"200"</f>
        <v>200</v>
      </c>
      <c r="I105" s="451"/>
      <c r="K105" s="208"/>
    </row>
    <row r="106" spans="1:12" ht="18.75" hidden="1" customHeight="1" x14ac:dyDescent="0.25">
      <c r="A106" s="209">
        <f>IFERROR(VLOOKUP(F106,[1]Реестр!A:K,3,0)*H106/G106,"")</f>
        <v>1.32</v>
      </c>
      <c r="B106" s="209">
        <f>IFERROR(VLOOKUP(F106,[1]Реестр!A:K,4,0)*H106/G106,"")</f>
        <v>0.24</v>
      </c>
      <c r="C106" s="209">
        <f>IFERROR(VLOOKUP(F106,[1]Реестр!A:K,5,0)*H106/G106,"")</f>
        <v>6.68</v>
      </c>
      <c r="D106" s="209">
        <f>IFERROR(VLOOKUP(F106,[1]Реестр!A:K,6,0)*H106/G106,"")</f>
        <v>38.6</v>
      </c>
      <c r="E106" s="210" t="str">
        <f>IFERROR(VLOOKUP(F106,[1]Реестр!A:K,11,0),"")</f>
        <v>-</v>
      </c>
      <c r="F106" s="217" t="s">
        <v>65</v>
      </c>
      <c r="G106" s="211" t="str">
        <f>IFERROR(VLOOKUP(F106,[1]Реестр!A:K,2,0),"")</f>
        <v>100</v>
      </c>
      <c r="H106" s="229" t="str">
        <f>"20"</f>
        <v>20</v>
      </c>
      <c r="I106" s="451"/>
      <c r="K106" s="208"/>
    </row>
    <row r="107" spans="1:12" ht="18.75" hidden="1" customHeight="1" x14ac:dyDescent="0.3">
      <c r="A107" s="209">
        <f>IFERROR(VLOOKUP(F107,[1]Реестр!A:K,3,0)*H107/G107,"")</f>
        <v>1.32</v>
      </c>
      <c r="B107" s="209">
        <f>IFERROR(VLOOKUP(F107,[1]Реестр!A:K,4,0)*H107/G107,"")</f>
        <v>0.12</v>
      </c>
      <c r="C107" s="209">
        <f>IFERROR(VLOOKUP(F107,[1]Реестр!A:K,5,0)*H107/G107,"")</f>
        <v>9.36</v>
      </c>
      <c r="D107" s="209">
        <f>IFERROR(VLOOKUP(F107,[1]Реестр!A:K,6,0)*H107/G107,"")</f>
        <v>44.8</v>
      </c>
      <c r="E107" s="210" t="str">
        <f>IFERROR(VLOOKUP(F107,[1]Реестр!A:K,11,0),"")</f>
        <v>-</v>
      </c>
      <c r="F107" s="217" t="s">
        <v>66</v>
      </c>
      <c r="G107" s="211" t="str">
        <f>IFERROR(VLOOKUP(F107,[1]Реестр!A:K,2,0),"")</f>
        <v>100</v>
      </c>
      <c r="H107" s="206">
        <v>20</v>
      </c>
      <c r="I107" s="452"/>
      <c r="K107" s="208"/>
    </row>
    <row r="108" spans="1:12" ht="18.75" hidden="1" x14ac:dyDescent="0.3">
      <c r="A108" s="464" t="s">
        <v>16</v>
      </c>
      <c r="B108" s="464"/>
      <c r="C108" s="464"/>
      <c r="D108" s="464"/>
      <c r="E108" s="464"/>
      <c r="F108" s="464"/>
      <c r="G108" s="205"/>
      <c r="H108" s="206"/>
      <c r="I108" s="207">
        <f>SUM(I102)</f>
        <v>108.64</v>
      </c>
      <c r="K108" s="208"/>
    </row>
    <row r="109" spans="1:12" ht="18.75" hidden="1" x14ac:dyDescent="0.3">
      <c r="A109" s="462" t="s">
        <v>566</v>
      </c>
      <c r="B109" s="462"/>
      <c r="C109" s="462"/>
      <c r="D109" s="462"/>
      <c r="E109" s="462"/>
      <c r="F109" s="462"/>
      <c r="G109" s="462"/>
      <c r="H109" s="462"/>
      <c r="I109" s="462"/>
      <c r="K109" s="208"/>
    </row>
    <row r="110" spans="1:12" ht="18.75" hidden="1" customHeight="1" x14ac:dyDescent="0.25">
      <c r="A110" s="198">
        <v>14.01</v>
      </c>
      <c r="B110" s="196">
        <v>6.2079999999999993</v>
      </c>
      <c r="C110" s="196">
        <v>12.072000000000001</v>
      </c>
      <c r="D110" s="196">
        <v>117.68388800000001</v>
      </c>
      <c r="E110" s="197" t="s">
        <v>628</v>
      </c>
      <c r="F110" s="198" t="s">
        <v>629</v>
      </c>
      <c r="G110" s="199" t="str">
        <f>IFERROR(VLOOKUP(F110,[2]Реестр!A:K,2,0),"")</f>
        <v/>
      </c>
      <c r="H110" s="244" t="s">
        <v>81</v>
      </c>
      <c r="I110" s="450">
        <v>162.94999999999999</v>
      </c>
      <c r="K110" s="208"/>
    </row>
    <row r="111" spans="1:12" ht="30" hidden="1" customHeight="1" x14ac:dyDescent="0.25">
      <c r="A111" s="244">
        <v>12.44</v>
      </c>
      <c r="B111" s="244">
        <v>7.77</v>
      </c>
      <c r="C111" s="244">
        <v>25.16</v>
      </c>
      <c r="D111" s="244">
        <v>208</v>
      </c>
      <c r="E111" s="245" t="str">
        <f>"6/57 (2004 № 139)"</f>
        <v>6/57 (2004 № 139)</v>
      </c>
      <c r="F111" s="245" t="s">
        <v>603</v>
      </c>
      <c r="G111" s="199" t="str">
        <f>IFERROR(VLOOKUP(F111,[2]Реестр!A:K,2,0),"")</f>
        <v/>
      </c>
      <c r="H111" s="248" t="str">
        <f>"250"</f>
        <v>250</v>
      </c>
      <c r="I111" s="451"/>
      <c r="K111" s="208"/>
    </row>
    <row r="112" spans="1:12" ht="18.75" hidden="1" customHeight="1" x14ac:dyDescent="0.25">
      <c r="A112" s="244">
        <v>15.55</v>
      </c>
      <c r="B112" s="244">
        <v>18.7</v>
      </c>
      <c r="C112" s="244">
        <v>44.29</v>
      </c>
      <c r="D112" s="244">
        <v>408.6</v>
      </c>
      <c r="E112" s="245" t="str">
        <f>"9/17"</f>
        <v>9/17</v>
      </c>
      <c r="F112" s="245" t="s">
        <v>631</v>
      </c>
      <c r="G112" s="199"/>
      <c r="H112" s="249">
        <v>200</v>
      </c>
      <c r="I112" s="451"/>
      <c r="K112" s="208"/>
    </row>
    <row r="113" spans="1:11" ht="18.75" hidden="1" customHeight="1" x14ac:dyDescent="0.25">
      <c r="A113" s="244">
        <v>0.18</v>
      </c>
      <c r="B113" s="244">
        <v>0.04</v>
      </c>
      <c r="C113" s="244">
        <v>13.75</v>
      </c>
      <c r="D113" s="244">
        <v>53.136642799999997</v>
      </c>
      <c r="E113" s="245" t="str">
        <f>"11/74"</f>
        <v>11/74</v>
      </c>
      <c r="F113" s="245" t="s">
        <v>632</v>
      </c>
      <c r="G113" s="199"/>
      <c r="H113" s="244" t="s">
        <v>118</v>
      </c>
      <c r="I113" s="451"/>
      <c r="K113" s="208"/>
    </row>
    <row r="114" spans="1:11" ht="18.75" hidden="1" customHeight="1" x14ac:dyDescent="0.25">
      <c r="A114" s="246">
        <v>2.64</v>
      </c>
      <c r="B114" s="246">
        <v>0.48</v>
      </c>
      <c r="C114" s="246">
        <v>16.68</v>
      </c>
      <c r="D114" s="246">
        <v>77.352000000000004</v>
      </c>
      <c r="E114" s="245" t="str">
        <f>"-"</f>
        <v>-</v>
      </c>
      <c r="F114" s="204" t="s">
        <v>66</v>
      </c>
      <c r="G114" s="199"/>
      <c r="H114" s="246" t="str">
        <f>"40"</f>
        <v>40</v>
      </c>
      <c r="I114" s="451"/>
      <c r="K114" s="208"/>
    </row>
    <row r="115" spans="1:11" ht="18.75" hidden="1" customHeight="1" x14ac:dyDescent="0.25">
      <c r="A115" s="246">
        <v>2.64</v>
      </c>
      <c r="B115" s="246">
        <v>0.48</v>
      </c>
      <c r="C115" s="246">
        <v>16.68</v>
      </c>
      <c r="D115" s="246">
        <v>77.352000000000004</v>
      </c>
      <c r="E115" s="247" t="str">
        <f>"-"</f>
        <v>-</v>
      </c>
      <c r="F115" s="204" t="s">
        <v>65</v>
      </c>
      <c r="G115" s="199" t="str">
        <f>IFERROR(VLOOKUP(F115,[2]Реестр!A:K,2,0),"")</f>
        <v>100</v>
      </c>
      <c r="H115" s="246" t="str">
        <f>"40"</f>
        <v>40</v>
      </c>
      <c r="I115" s="451"/>
      <c r="K115" s="208"/>
    </row>
    <row r="116" spans="1:11" ht="18.75" hidden="1" customHeight="1" x14ac:dyDescent="0.25">
      <c r="A116" s="241"/>
      <c r="B116" s="241"/>
      <c r="C116" s="241"/>
      <c r="D116" s="241"/>
      <c r="E116" s="265"/>
      <c r="F116" s="217"/>
      <c r="G116" s="211"/>
      <c r="H116" s="269"/>
      <c r="I116" s="451"/>
      <c r="K116" s="208"/>
    </row>
    <row r="117" spans="1:11" ht="18.75" hidden="1" x14ac:dyDescent="0.3">
      <c r="A117" s="464" t="s">
        <v>16</v>
      </c>
      <c r="B117" s="464"/>
      <c r="C117" s="464"/>
      <c r="D117" s="464"/>
      <c r="E117" s="464"/>
      <c r="F117" s="464"/>
      <c r="G117" s="205"/>
      <c r="H117" s="206"/>
      <c r="I117" s="207">
        <f>SUM(I110:I116)</f>
        <v>162.94999999999999</v>
      </c>
      <c r="K117" s="208"/>
    </row>
    <row r="118" spans="1:11" ht="18.75" hidden="1" x14ac:dyDescent="0.3">
      <c r="A118" s="462" t="s">
        <v>550</v>
      </c>
      <c r="B118" s="462"/>
      <c r="C118" s="462"/>
      <c r="D118" s="462"/>
      <c r="E118" s="462"/>
      <c r="F118" s="462"/>
      <c r="G118" s="462"/>
      <c r="H118" s="462"/>
      <c r="I118" s="462"/>
      <c r="K118" s="208"/>
    </row>
    <row r="119" spans="1:11" ht="31.5" hidden="1" customHeight="1" x14ac:dyDescent="0.25">
      <c r="A119" s="198">
        <v>14.01</v>
      </c>
      <c r="B119" s="196">
        <v>6.2079999999999993</v>
      </c>
      <c r="C119" s="196">
        <v>12.072000000000001</v>
      </c>
      <c r="D119" s="196">
        <v>117.68388800000001</v>
      </c>
      <c r="E119" s="197" t="s">
        <v>628</v>
      </c>
      <c r="F119" s="198" t="s">
        <v>629</v>
      </c>
      <c r="G119" s="199" t="str">
        <f>IFERROR(VLOOKUP(F119,[2]Реестр!A:K,2,0),"")</f>
        <v/>
      </c>
      <c r="H119" s="244" t="s">
        <v>81</v>
      </c>
      <c r="I119" s="450">
        <v>162.94999999999999</v>
      </c>
      <c r="K119" s="208"/>
    </row>
    <row r="120" spans="1:11" ht="18.75" hidden="1" customHeight="1" x14ac:dyDescent="0.25">
      <c r="A120" s="244">
        <v>12.44</v>
      </c>
      <c r="B120" s="244">
        <v>7.77</v>
      </c>
      <c r="C120" s="244">
        <v>25.16</v>
      </c>
      <c r="D120" s="244">
        <v>208</v>
      </c>
      <c r="E120" s="245" t="str">
        <f>"6/57 (2004 № 139)"</f>
        <v>6/57 (2004 № 139)</v>
      </c>
      <c r="F120" s="250" t="s">
        <v>603</v>
      </c>
      <c r="G120" s="199" t="str">
        <f>IFERROR(VLOOKUP(F120,[2]Реестр!A:K,2,0),"")</f>
        <v/>
      </c>
      <c r="H120" s="248" t="str">
        <f>"250"</f>
        <v>250</v>
      </c>
      <c r="I120" s="451"/>
      <c r="K120" s="208"/>
    </row>
    <row r="121" spans="1:11" ht="18.75" hidden="1" customHeight="1" x14ac:dyDescent="0.25">
      <c r="A121" s="244">
        <v>15.55</v>
      </c>
      <c r="B121" s="244">
        <v>18.7</v>
      </c>
      <c r="C121" s="244">
        <v>44.29</v>
      </c>
      <c r="D121" s="244">
        <v>408.6</v>
      </c>
      <c r="E121" s="245" t="str">
        <f>"9/17"</f>
        <v>9/17</v>
      </c>
      <c r="F121" s="245" t="s">
        <v>631</v>
      </c>
      <c r="G121" s="199"/>
      <c r="H121" s="249">
        <v>200</v>
      </c>
      <c r="I121" s="451"/>
      <c r="K121" s="208"/>
    </row>
    <row r="122" spans="1:11" ht="18.75" hidden="1" customHeight="1" x14ac:dyDescent="0.25">
      <c r="A122" s="244">
        <v>0.18</v>
      </c>
      <c r="B122" s="244">
        <v>0.04</v>
      </c>
      <c r="C122" s="244">
        <v>13.75</v>
      </c>
      <c r="D122" s="244">
        <v>53.136642799999997</v>
      </c>
      <c r="E122" s="245" t="str">
        <f>"11/56"</f>
        <v>11/56</v>
      </c>
      <c r="F122" s="245" t="s">
        <v>499</v>
      </c>
      <c r="G122" s="199"/>
      <c r="H122" s="248" t="str">
        <f>"200"</f>
        <v>200</v>
      </c>
      <c r="I122" s="451"/>
      <c r="K122" s="208"/>
    </row>
    <row r="123" spans="1:11" ht="18.75" hidden="1" customHeight="1" x14ac:dyDescent="0.25">
      <c r="A123" s="246">
        <v>2.64</v>
      </c>
      <c r="B123" s="246">
        <v>0.48</v>
      </c>
      <c r="C123" s="246">
        <v>16.68</v>
      </c>
      <c r="D123" s="246">
        <v>77.352000000000004</v>
      </c>
      <c r="E123" s="245" t="str">
        <f>"-"</f>
        <v>-</v>
      </c>
      <c r="F123" s="204" t="s">
        <v>66</v>
      </c>
      <c r="G123" s="199"/>
      <c r="H123" s="246" t="str">
        <f>"40"</f>
        <v>40</v>
      </c>
      <c r="I123" s="451"/>
      <c r="K123" s="208"/>
    </row>
    <row r="124" spans="1:11" ht="18.75" hidden="1" customHeight="1" x14ac:dyDescent="0.25">
      <c r="A124" s="246">
        <v>2.64</v>
      </c>
      <c r="B124" s="246">
        <v>0.48</v>
      </c>
      <c r="C124" s="246">
        <v>16.68</v>
      </c>
      <c r="D124" s="246">
        <v>77.352000000000004</v>
      </c>
      <c r="E124" s="247" t="str">
        <f>"-"</f>
        <v>-</v>
      </c>
      <c r="F124" s="204" t="s">
        <v>65</v>
      </c>
      <c r="G124" s="199" t="str">
        <f>IFERROR(VLOOKUP(F124,[2]Реестр!A:K,2,0),"")</f>
        <v>100</v>
      </c>
      <c r="H124" s="246" t="str">
        <f>"40"</f>
        <v>40</v>
      </c>
      <c r="I124" s="451"/>
      <c r="K124" s="208"/>
    </row>
    <row r="125" spans="1:11" ht="18.75" hidden="1" customHeight="1" x14ac:dyDescent="0.25">
      <c r="A125" s="246"/>
      <c r="B125" s="246"/>
      <c r="C125" s="246"/>
      <c r="D125" s="246"/>
      <c r="E125" s="247"/>
      <c r="F125" s="204"/>
      <c r="G125" s="199"/>
      <c r="H125" s="246"/>
      <c r="I125" s="451"/>
      <c r="K125" s="208"/>
    </row>
    <row r="126" spans="1:11" ht="18.75" hidden="1" x14ac:dyDescent="0.3">
      <c r="A126" s="464" t="s">
        <v>16</v>
      </c>
      <c r="B126" s="464"/>
      <c r="C126" s="464"/>
      <c r="D126" s="464"/>
      <c r="E126" s="464"/>
      <c r="F126" s="464"/>
      <c r="G126" s="205"/>
      <c r="H126" s="206"/>
      <c r="I126" s="207">
        <f>SUM(I119)</f>
        <v>162.94999999999999</v>
      </c>
      <c r="K126" s="208"/>
    </row>
    <row r="127" spans="1:11" ht="18.75" x14ac:dyDescent="0.3">
      <c r="A127" s="462" t="s">
        <v>36</v>
      </c>
      <c r="B127" s="462"/>
      <c r="C127" s="462"/>
      <c r="D127" s="462"/>
      <c r="E127" s="462"/>
      <c r="F127" s="462"/>
      <c r="G127" s="462"/>
      <c r="H127" s="462"/>
      <c r="I127" s="462"/>
      <c r="K127" s="208"/>
    </row>
    <row r="128" spans="1:11" ht="18.75" x14ac:dyDescent="0.3">
      <c r="A128" s="196">
        <v>8.9166666666666661</v>
      </c>
      <c r="B128" s="196">
        <v>7.75</v>
      </c>
      <c r="C128" s="196">
        <v>19.5</v>
      </c>
      <c r="D128" s="196">
        <v>185</v>
      </c>
      <c r="E128" s="197" t="s">
        <v>213</v>
      </c>
      <c r="F128" s="198" t="s">
        <v>212</v>
      </c>
      <c r="G128" s="199" t="str">
        <f>IFERROR(VLOOKUP(F128,[2]Реестр!A:K,2,0),"")</f>
        <v>300</v>
      </c>
      <c r="H128" s="200">
        <v>250</v>
      </c>
      <c r="I128" s="203">
        <v>42</v>
      </c>
      <c r="J128" s="215">
        <v>25</v>
      </c>
      <c r="K128" s="208"/>
    </row>
    <row r="129" spans="1:11" ht="18.75" hidden="1" x14ac:dyDescent="0.3">
      <c r="A129" s="209"/>
      <c r="B129" s="209"/>
      <c r="C129" s="209"/>
      <c r="D129" s="209"/>
      <c r="E129" s="210"/>
      <c r="F129" s="211"/>
      <c r="G129" s="211"/>
      <c r="H129" s="206"/>
      <c r="I129" s="207"/>
      <c r="K129" s="208"/>
    </row>
    <row r="130" spans="1:11" ht="18.75" hidden="1" x14ac:dyDescent="0.3">
      <c r="A130" s="209"/>
      <c r="B130" s="209"/>
      <c r="C130" s="209"/>
      <c r="D130" s="209"/>
      <c r="E130" s="210"/>
      <c r="F130" s="217"/>
      <c r="G130" s="211"/>
      <c r="H130" s="206"/>
      <c r="I130" s="207"/>
      <c r="K130" s="208"/>
    </row>
    <row r="131" spans="1:11" ht="18.75" hidden="1" x14ac:dyDescent="0.3">
      <c r="A131" s="209"/>
      <c r="B131" s="209"/>
      <c r="C131" s="209"/>
      <c r="D131" s="209"/>
      <c r="E131" s="210"/>
      <c r="F131" s="217"/>
      <c r="G131" s="211"/>
      <c r="H131" s="206"/>
      <c r="I131" s="207"/>
      <c r="K131" s="208"/>
    </row>
    <row r="132" spans="1:11" ht="18.75" x14ac:dyDescent="0.3">
      <c r="A132" s="464" t="s">
        <v>16</v>
      </c>
      <c r="B132" s="464"/>
      <c r="C132" s="464"/>
      <c r="D132" s="464"/>
      <c r="E132" s="464"/>
      <c r="F132" s="464"/>
      <c r="G132" s="205"/>
      <c r="H132" s="206"/>
      <c r="I132" s="207">
        <f>SUM(I128:I131)</f>
        <v>42</v>
      </c>
      <c r="K132" s="208"/>
    </row>
    <row r="133" spans="1:11" ht="18.75" x14ac:dyDescent="0.3">
      <c r="A133" s="462" t="s">
        <v>590</v>
      </c>
      <c r="B133" s="462"/>
      <c r="C133" s="462"/>
      <c r="D133" s="462"/>
      <c r="E133" s="462"/>
      <c r="F133" s="462"/>
      <c r="G133" s="462"/>
      <c r="H133" s="462"/>
      <c r="I133" s="462"/>
      <c r="K133" s="208"/>
    </row>
    <row r="134" spans="1:11" ht="18.75" x14ac:dyDescent="0.3">
      <c r="A134" s="219">
        <v>7.7</v>
      </c>
      <c r="B134" s="219">
        <v>7.42</v>
      </c>
      <c r="C134" s="219">
        <v>32.090000000000003</v>
      </c>
      <c r="D134" s="219">
        <v>225.88</v>
      </c>
      <c r="E134" s="261" t="s">
        <v>408</v>
      </c>
      <c r="F134" s="216" t="s">
        <v>605</v>
      </c>
      <c r="G134" s="221">
        <v>80</v>
      </c>
      <c r="H134" s="221">
        <v>100</v>
      </c>
      <c r="I134" s="222">
        <v>42</v>
      </c>
      <c r="K134" s="208"/>
    </row>
    <row r="135" spans="1:11" ht="18.75" x14ac:dyDescent="0.3">
      <c r="A135" s="196">
        <v>0.2</v>
      </c>
      <c r="B135" s="196">
        <v>0</v>
      </c>
      <c r="C135" s="196">
        <v>13.7</v>
      </c>
      <c r="D135" s="196">
        <v>53</v>
      </c>
      <c r="E135" s="197" t="s">
        <v>353</v>
      </c>
      <c r="F135" s="198" t="s">
        <v>499</v>
      </c>
      <c r="G135" s="199" t="str">
        <f>IFERROR(VLOOKUP(F135,[2]Реестр!A:K,2,0),"")</f>
        <v>200</v>
      </c>
      <c r="H135" s="200">
        <v>200</v>
      </c>
      <c r="I135" s="203">
        <v>4.38</v>
      </c>
      <c r="K135" s="208"/>
    </row>
    <row r="136" spans="1:11" ht="18.75" x14ac:dyDescent="0.3">
      <c r="A136" s="464" t="s">
        <v>16</v>
      </c>
      <c r="B136" s="464"/>
      <c r="C136" s="464"/>
      <c r="D136" s="464"/>
      <c r="E136" s="464"/>
      <c r="F136" s="464"/>
      <c r="G136" s="205"/>
      <c r="H136" s="206"/>
      <c r="I136" s="207">
        <f>SUM(I134:I135)</f>
        <v>46.38</v>
      </c>
      <c r="K136" s="208"/>
    </row>
    <row r="137" spans="1:11" ht="18.75" x14ac:dyDescent="0.3">
      <c r="A137" s="462" t="s">
        <v>622</v>
      </c>
      <c r="B137" s="462"/>
      <c r="C137" s="462"/>
      <c r="D137" s="462"/>
      <c r="E137" s="462"/>
      <c r="F137" s="462"/>
      <c r="G137" s="462"/>
      <c r="H137" s="462"/>
      <c r="I137" s="462"/>
      <c r="K137" s="208"/>
    </row>
    <row r="138" spans="1:11" ht="18.75" x14ac:dyDescent="0.25">
      <c r="A138" s="198">
        <v>14.01</v>
      </c>
      <c r="B138" s="196">
        <v>6.2079999999999993</v>
      </c>
      <c r="C138" s="196">
        <v>12.072000000000001</v>
      </c>
      <c r="D138" s="196">
        <v>117.68388800000001</v>
      </c>
      <c r="E138" s="197" t="s">
        <v>628</v>
      </c>
      <c r="F138" s="198" t="s">
        <v>629</v>
      </c>
      <c r="G138" s="199" t="str">
        <f>IFERROR(VLOOKUP(F138,[2]Реестр!A:K,2,0),"")</f>
        <v/>
      </c>
      <c r="H138" s="197">
        <v>80</v>
      </c>
      <c r="I138" s="236">
        <v>21.73</v>
      </c>
      <c r="K138" s="208"/>
    </row>
    <row r="139" spans="1:11" ht="18.75" x14ac:dyDescent="0.3">
      <c r="A139" s="196">
        <v>8.9166666666666661</v>
      </c>
      <c r="B139" s="196">
        <v>7.75</v>
      </c>
      <c r="C139" s="196">
        <v>19.5</v>
      </c>
      <c r="D139" s="196">
        <v>185</v>
      </c>
      <c r="E139" s="197" t="s">
        <v>213</v>
      </c>
      <c r="F139" s="198" t="s">
        <v>212</v>
      </c>
      <c r="G139" s="199" t="str">
        <f>IFERROR(VLOOKUP(F139,[2]Реестр!A:K,2,0),"")</f>
        <v>300</v>
      </c>
      <c r="H139" s="200">
        <v>250</v>
      </c>
      <c r="I139" s="203">
        <v>42</v>
      </c>
      <c r="K139" s="208"/>
    </row>
    <row r="140" spans="1:11" ht="18.75" x14ac:dyDescent="0.3">
      <c r="A140" s="196">
        <v>17.37</v>
      </c>
      <c r="B140" s="196">
        <v>9.0540000000000003</v>
      </c>
      <c r="C140" s="196">
        <v>30.789000000000001</v>
      </c>
      <c r="D140" s="196">
        <v>274.12200000000001</v>
      </c>
      <c r="E140" s="197" t="s">
        <v>630</v>
      </c>
      <c r="F140" s="198" t="s">
        <v>631</v>
      </c>
      <c r="G140" s="199" t="str">
        <f>IFERROR(VLOOKUP(F140,[2]Реестр!A:K,2,0),"")</f>
        <v/>
      </c>
      <c r="H140" s="200">
        <v>200</v>
      </c>
      <c r="I140" s="200">
        <v>87.64</v>
      </c>
      <c r="K140" s="208"/>
    </row>
    <row r="141" spans="1:11" ht="18.75" x14ac:dyDescent="0.3">
      <c r="A141" s="196">
        <v>0.2</v>
      </c>
      <c r="B141" s="196">
        <v>0</v>
      </c>
      <c r="C141" s="196">
        <v>13.7</v>
      </c>
      <c r="D141" s="196">
        <v>53</v>
      </c>
      <c r="E141" s="197" t="s">
        <v>353</v>
      </c>
      <c r="F141" s="198" t="s">
        <v>499</v>
      </c>
      <c r="G141" s="199" t="str">
        <f>IFERROR(VLOOKUP(F141,[2]Реестр!A:K,2,0),"")</f>
        <v>200</v>
      </c>
      <c r="H141" s="200">
        <v>200</v>
      </c>
      <c r="I141" s="203">
        <v>4.38</v>
      </c>
      <c r="K141" s="208"/>
    </row>
    <row r="142" spans="1:11" ht="18.75" x14ac:dyDescent="0.3">
      <c r="A142" s="196">
        <v>2.64</v>
      </c>
      <c r="B142" s="196">
        <v>0.24</v>
      </c>
      <c r="C142" s="196">
        <v>18.72</v>
      </c>
      <c r="D142" s="196">
        <v>89.6</v>
      </c>
      <c r="E142" s="197" t="s">
        <v>471</v>
      </c>
      <c r="F142" s="204" t="s">
        <v>66</v>
      </c>
      <c r="G142" s="199" t="str">
        <f>IFERROR(VLOOKUP(F142,[2]Реестр!A:K,2,0),"")</f>
        <v>100</v>
      </c>
      <c r="H142" s="200">
        <v>40</v>
      </c>
      <c r="I142" s="203">
        <v>3.6</v>
      </c>
      <c r="K142" s="208"/>
    </row>
    <row r="143" spans="1:11" ht="18.75" x14ac:dyDescent="0.3">
      <c r="A143" s="196">
        <v>2.64</v>
      </c>
      <c r="B143" s="196">
        <v>0.48</v>
      </c>
      <c r="C143" s="196">
        <v>13.36</v>
      </c>
      <c r="D143" s="196">
        <v>77.2</v>
      </c>
      <c r="E143" s="197" t="s">
        <v>471</v>
      </c>
      <c r="F143" s="204" t="s">
        <v>65</v>
      </c>
      <c r="G143" s="199" t="str">
        <f>IFERROR(VLOOKUP(F143,[2]Реестр!A:K,2,0),"")</f>
        <v>100</v>
      </c>
      <c r="H143" s="200">
        <v>40</v>
      </c>
      <c r="I143" s="203">
        <v>3.6</v>
      </c>
      <c r="K143" s="208"/>
    </row>
    <row r="144" spans="1:11" ht="18.75" x14ac:dyDescent="0.3">
      <c r="A144" s="196"/>
      <c r="B144" s="196"/>
      <c r="C144" s="196"/>
      <c r="D144" s="196"/>
      <c r="E144" s="214"/>
      <c r="F144" s="204"/>
      <c r="G144" s="199"/>
      <c r="H144" s="200"/>
      <c r="I144" s="203"/>
      <c r="K144" s="208"/>
    </row>
    <row r="145" spans="1:11" ht="18.75" x14ac:dyDescent="0.3">
      <c r="A145" s="453" t="s">
        <v>16</v>
      </c>
      <c r="B145" s="454"/>
      <c r="C145" s="454"/>
      <c r="D145" s="454"/>
      <c r="E145" s="454"/>
      <c r="F145" s="455"/>
      <c r="G145" s="205"/>
      <c r="H145" s="206"/>
      <c r="I145" s="207">
        <f>SUM(I138:I144)</f>
        <v>162.94999999999999</v>
      </c>
      <c r="K145" s="208"/>
    </row>
    <row r="146" spans="1:11" ht="18.75" x14ac:dyDescent="0.3">
      <c r="A146" s="251"/>
      <c r="B146" s="251"/>
      <c r="C146" s="251"/>
      <c r="D146" s="251"/>
      <c r="E146" s="251"/>
      <c r="F146" s="251"/>
      <c r="G146" s="271"/>
      <c r="H146" s="255"/>
      <c r="I146" s="256"/>
      <c r="K146" s="208"/>
    </row>
    <row r="148" spans="1:11" s="215" customFormat="1" ht="18.75" x14ac:dyDescent="0.3">
      <c r="B148" s="252"/>
      <c r="C148" s="253"/>
      <c r="D148" s="253"/>
      <c r="E148" s="253"/>
      <c r="F148" s="254" t="s">
        <v>37</v>
      </c>
      <c r="G148" s="270"/>
      <c r="H148" s="257"/>
      <c r="I148" s="258"/>
      <c r="K148" s="202"/>
    </row>
  </sheetData>
  <autoFilter ref="A4:I93" xr:uid="{00000000-0009-0000-0000-00000D000000}"/>
  <mergeCells count="56">
    <mergeCell ref="A137:I137"/>
    <mergeCell ref="A145:F145"/>
    <mergeCell ref="I119:I125"/>
    <mergeCell ref="A126:F126"/>
    <mergeCell ref="A127:I127"/>
    <mergeCell ref="A132:F132"/>
    <mergeCell ref="A133:I133"/>
    <mergeCell ref="A136:F136"/>
    <mergeCell ref="A118:I118"/>
    <mergeCell ref="A85:I85"/>
    <mergeCell ref="A93:F93"/>
    <mergeCell ref="A94:I94"/>
    <mergeCell ref="I95:I99"/>
    <mergeCell ref="A100:F100"/>
    <mergeCell ref="A101:I101"/>
    <mergeCell ref="I102:I107"/>
    <mergeCell ref="A108:F108"/>
    <mergeCell ref="A109:I109"/>
    <mergeCell ref="I110:I116"/>
    <mergeCell ref="A117:F117"/>
    <mergeCell ref="A38:F38"/>
    <mergeCell ref="A39:I3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A40:I40"/>
    <mergeCell ref="J4:J5"/>
    <mergeCell ref="A6:I6"/>
    <mergeCell ref="A12:F12"/>
    <mergeCell ref="A13:I13"/>
    <mergeCell ref="G4:G5"/>
    <mergeCell ref="H4:H5"/>
    <mergeCell ref="A22:I22"/>
    <mergeCell ref="A29:F29"/>
    <mergeCell ref="A30:I30"/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D00-000000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F60:F61 F98:F99 F105:F106 F10:F11 F131 F44:F45</xm:sqref>
        </x14:dataValidation>
        <x14:dataValidation type="list" allowBlank="1" showInputMessage="1" showErrorMessage="1" xr:uid="{00000000-0002-0000-0D00-000001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F72 F80 F134 F23</xm:sqref>
        </x14:dataValidation>
        <x14:dataValidation type="list" allowBlank="1" showInputMessage="1" showErrorMessage="1" xr:uid="{00000000-0002-0000-0D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F44:F45 F10:F11 F131 F60:F61 F98:F99 F105:F106 F19 F27:F28 F36 F52 F68 F76:F77 F91 F143</xm:sqref>
        </x14:dataValidation>
        <x14:dataValidation type="list" allowBlank="1" showInputMessage="1" showErrorMessage="1" xr:uid="{00000000-0002-0000-0D00-000003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F95:F97 F7:F9 F107 F129:F130 F116 F102:F104 F57:F59 F41:F43 F17:F18 F25:F26 F34:F35 F50:F51 F66:F67 F74:F75 F89:F90 F111:F113 F120:F122 F135 F141:F142</xm:sqref>
        </x14:dataValidation>
        <x14:dataValidation type="list" allowBlank="1" showInputMessage="1" showErrorMessage="1" xr:uid="{00000000-0002-0000-0D00-000005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F19 F27:F28 F36 F52 F68 F76:F77 F91 F143</xm:sqref>
        </x14:dataValidation>
        <x14:dataValidation type="list" allowBlank="1" showInputMessage="1" showErrorMessage="1" xr:uid="{00000000-0002-0000-0D00-000006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F20 F37 F53 F69 F92 F115 F124:F125 F144</xm:sqref>
        </x14:dataValidation>
        <x14:dataValidation type="list" allowBlank="1" showInputMessage="1" showErrorMessage="1" xr:uid="{00000000-0002-0000-0D00-000007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F14:F16 F24 F31:F33 F47:F49 F63:F65 F73 F86:F88 F83 F128 F110 F119 F138:F140</xm:sqref>
        </x14:dataValidation>
        <x14:dataValidation type="list" allowBlank="1" showInputMessage="1" showErrorMessage="1" xr:uid="{00000000-0002-0000-0D00-000009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F114 F123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32">
    <pageSetUpPr fitToPage="1"/>
  </sheetPr>
  <dimension ref="A1:L144"/>
  <sheetViews>
    <sheetView view="pageBreakPreview" zoomScaleNormal="100" zoomScaleSheetLayoutView="100" workbookViewId="0">
      <selection activeCell="F11" sqref="F11"/>
    </sheetView>
  </sheetViews>
  <sheetFormatPr defaultRowHeight="15.75" x14ac:dyDescent="0.25"/>
  <cols>
    <col min="1" max="1" width="11.28515625" style="215" customWidth="1"/>
    <col min="2" max="2" width="11.28515625" style="252" customWidth="1"/>
    <col min="3" max="3" width="10.5703125" style="253" customWidth="1"/>
    <col min="4" max="4" width="10.28515625" style="253" customWidth="1"/>
    <col min="5" max="5" width="14" style="253" customWidth="1"/>
    <col min="6" max="6" width="57.85546875" style="253" customWidth="1"/>
    <col min="7" max="7" width="17.85546875" style="253" hidden="1" customWidth="1"/>
    <col min="8" max="9" width="15.5703125" style="253" customWidth="1"/>
    <col min="10" max="10" width="25.5703125" style="215" customWidth="1"/>
    <col min="11" max="1025" width="8.7109375" style="202" customWidth="1"/>
    <col min="1026" max="16384" width="9.140625" style="202"/>
  </cols>
  <sheetData>
    <row r="1" spans="1:12" s="234" customFormat="1" ht="29.25" customHeight="1" x14ac:dyDescent="0.25">
      <c r="A1" s="468" t="s">
        <v>0</v>
      </c>
      <c r="B1" s="468"/>
      <c r="C1" s="235"/>
      <c r="D1" s="235"/>
      <c r="E1" s="235"/>
      <c r="F1" s="231" t="s">
        <v>1</v>
      </c>
      <c r="G1" s="231"/>
      <c r="H1" s="439" t="s">
        <v>0</v>
      </c>
      <c r="I1" s="439"/>
    </row>
    <row r="2" spans="1:12" s="234" customFormat="1" ht="29.25" customHeight="1" x14ac:dyDescent="0.25">
      <c r="A2" s="235" t="s">
        <v>2</v>
      </c>
      <c r="B2" s="235"/>
      <c r="C2" s="259"/>
      <c r="D2" s="259"/>
      <c r="E2" s="259"/>
      <c r="F2" s="231" t="s">
        <v>634</v>
      </c>
      <c r="G2" s="231"/>
      <c r="H2" s="469" t="s">
        <v>635</v>
      </c>
      <c r="I2" s="469"/>
      <c r="J2" s="235"/>
    </row>
    <row r="3" spans="1:12" s="234" customFormat="1" ht="29.25" customHeight="1" x14ac:dyDescent="0.25">
      <c r="A3" s="437" t="s">
        <v>522</v>
      </c>
      <c r="B3" s="437"/>
      <c r="C3" s="437"/>
      <c r="D3" s="438"/>
      <c r="E3" s="438"/>
      <c r="F3" s="371" t="s">
        <v>685</v>
      </c>
      <c r="G3" s="231"/>
      <c r="H3" s="470" t="s">
        <v>636</v>
      </c>
      <c r="I3" s="470"/>
    </row>
    <row r="4" spans="1:12" ht="15" customHeight="1" x14ac:dyDescent="0.25">
      <c r="A4" s="472" t="s">
        <v>4</v>
      </c>
      <c r="B4" s="472"/>
      <c r="C4" s="472"/>
      <c r="D4" s="471" t="s">
        <v>5</v>
      </c>
      <c r="E4" s="471" t="s">
        <v>6</v>
      </c>
      <c r="F4" s="471" t="s">
        <v>7</v>
      </c>
      <c r="G4" s="473" t="s">
        <v>8</v>
      </c>
      <c r="H4" s="471" t="s">
        <v>9</v>
      </c>
      <c r="I4" s="471" t="s">
        <v>10</v>
      </c>
      <c r="J4" s="471" t="s">
        <v>11</v>
      </c>
    </row>
    <row r="5" spans="1:12" x14ac:dyDescent="0.25">
      <c r="A5" s="232" t="s">
        <v>12</v>
      </c>
      <c r="B5" s="232" t="s">
        <v>13</v>
      </c>
      <c r="C5" s="232" t="s">
        <v>14</v>
      </c>
      <c r="D5" s="471"/>
      <c r="E5" s="471"/>
      <c r="F5" s="471"/>
      <c r="G5" s="473"/>
      <c r="H5" s="471"/>
      <c r="I5" s="471"/>
      <c r="J5" s="471"/>
    </row>
    <row r="6" spans="1:12" ht="18" customHeight="1" x14ac:dyDescent="0.3">
      <c r="A6" s="462" t="s">
        <v>15</v>
      </c>
      <c r="B6" s="462"/>
      <c r="C6" s="462"/>
      <c r="D6" s="462"/>
      <c r="E6" s="462"/>
      <c r="F6" s="462"/>
      <c r="G6" s="462"/>
      <c r="H6" s="462"/>
      <c r="I6" s="462"/>
      <c r="J6" s="212"/>
    </row>
    <row r="7" spans="1:12" ht="18" customHeight="1" x14ac:dyDescent="0.3">
      <c r="A7" s="209">
        <f>IFERROR(VLOOKUP(F7,[1]Реестр!A:K,3,0)*H7/G7,"")</f>
        <v>3.84</v>
      </c>
      <c r="B7" s="209">
        <f>IFERROR(VLOOKUP(F7,[1]Реестр!A:K,4,0)*H7/G7,"")</f>
        <v>10.1</v>
      </c>
      <c r="C7" s="209">
        <f>IFERROR(VLOOKUP(F7,[1]Реестр!A:K,5,0)*H7/G7,"")</f>
        <v>9.77</v>
      </c>
      <c r="D7" s="209">
        <f>IFERROR(VLOOKUP(F7,[1]Реестр!A:K,6,0)*H7/G7,"")</f>
        <v>145.38300000000001</v>
      </c>
      <c r="E7" s="210" t="str">
        <f>IFERROR(VLOOKUP(F7,[1]Реестр!A:K,11,0),"")</f>
        <v>1*57</v>
      </c>
      <c r="F7" s="355" t="s">
        <v>106</v>
      </c>
      <c r="G7" s="211" t="str">
        <f>IFERROR(VLOOKUP(F7,[1]Реестр!A:K,2,0),"")</f>
        <v>40</v>
      </c>
      <c r="H7" s="210">
        <v>40</v>
      </c>
      <c r="I7" s="207">
        <v>26.85</v>
      </c>
      <c r="J7" s="201" t="str">
        <f>IFERROR(VLOOKUP(O7,Реестр!#REF!,3,0)*Q7/P7,"")</f>
        <v/>
      </c>
    </row>
    <row r="8" spans="1:12" ht="18" customHeight="1" x14ac:dyDescent="0.3">
      <c r="A8" s="209">
        <v>9.75</v>
      </c>
      <c r="B8" s="209">
        <v>12.14</v>
      </c>
      <c r="C8" s="209">
        <v>36.06</v>
      </c>
      <c r="D8" s="209">
        <v>291.64</v>
      </c>
      <c r="E8" s="349" t="str">
        <f>"2/57"</f>
        <v>2/57</v>
      </c>
      <c r="F8" s="349" t="s">
        <v>665</v>
      </c>
      <c r="G8" s="211" t="str">
        <f>IFERROR(VLOOKUP(F8,[1]Реестр!A:K,2,0),"")</f>
        <v/>
      </c>
      <c r="H8" s="210">
        <v>210</v>
      </c>
      <c r="I8" s="207">
        <v>38.270000000000003</v>
      </c>
      <c r="J8" s="201" t="str">
        <f>IFERROR(VLOOKUP(O8,Реестр!#REF!,3,0)*Q8/P8,"")</f>
        <v/>
      </c>
    </row>
    <row r="9" spans="1:12" ht="18" customHeight="1" x14ac:dyDescent="0.3">
      <c r="A9" s="209">
        <f>IFERROR(VLOOKUP(F9,[1]Реестр!A:K,3,0)*H9/G9,"")</f>
        <v>0.15</v>
      </c>
      <c r="B9" s="209">
        <f>IFERROR(VLOOKUP(F9,[1]Реестр!A:K,4,0)*H9/G9,"")</f>
        <v>0.09</v>
      </c>
      <c r="C9" s="209">
        <f>IFERROR(VLOOKUP(F9,[1]Реестр!A:K,5,0)*H9/G9,"")</f>
        <v>8.58</v>
      </c>
      <c r="D9" s="209">
        <f>IFERROR(VLOOKUP(F9,[1]Реестр!A:K,6,0)*H9/G9,"")</f>
        <v>34.799999999999997</v>
      </c>
      <c r="E9" s="210" t="str">
        <f>IFERROR(VLOOKUP(F9,[1]Реестр!A:K,11,0),"")</f>
        <v>12*2</v>
      </c>
      <c r="F9" s="356" t="s">
        <v>371</v>
      </c>
      <c r="G9" s="211" t="str">
        <f>IFERROR(VLOOKUP(F9,[1]Реестр!A:K,2,0),"")</f>
        <v>100</v>
      </c>
      <c r="H9" s="210">
        <v>30</v>
      </c>
      <c r="I9" s="207">
        <v>17.559999999999999</v>
      </c>
      <c r="J9" s="201" t="str">
        <f>IFERROR(VLOOKUP(O9,Реестр!#REF!,3,0)*Q9/P9,"")</f>
        <v/>
      </c>
    </row>
    <row r="10" spans="1:12" ht="18" customHeight="1" x14ac:dyDescent="0.3">
      <c r="A10" s="209">
        <f>IFERROR(VLOOKUP(F10,[1]Реестр!A:K,3,0)*H10/G10,"")</f>
        <v>1.4</v>
      </c>
      <c r="B10" s="209">
        <f>IFERROR(VLOOKUP(F10,[1]Реестр!A:K,4,0)*H10/G10,"")</f>
        <v>1.1000000000000001</v>
      </c>
      <c r="C10" s="209">
        <f>IFERROR(VLOOKUP(F10,[1]Реестр!A:K,5,0)*H10/G10,"")</f>
        <v>16.600000000000001</v>
      </c>
      <c r="D10" s="209">
        <f>IFERROR(VLOOKUP(F10,[1]Реестр!A:K,6,0)*H10/G10,"")</f>
        <v>79</v>
      </c>
      <c r="E10" s="349" t="str">
        <f>"11/59"</f>
        <v>11/59</v>
      </c>
      <c r="F10" s="349" t="s">
        <v>357</v>
      </c>
      <c r="G10" s="211" t="str">
        <f>IFERROR(VLOOKUP(F10,[1]Реестр!A:K,2,0),"")</f>
        <v>200</v>
      </c>
      <c r="H10" s="206">
        <v>200</v>
      </c>
      <c r="I10" s="207">
        <v>24.16</v>
      </c>
      <c r="J10" s="201" t="str">
        <f>IFERROR(VLOOKUP(O10,Реестр!#REF!,3,0)*Q10/P10,"")</f>
        <v/>
      </c>
    </row>
    <row r="11" spans="1:12" ht="18.75" x14ac:dyDescent="0.3">
      <c r="A11" s="209">
        <f>IFERROR(VLOOKUP(F11,[1]Реестр!A:K,3,0)*H11/G11,"")</f>
        <v>1.32</v>
      </c>
      <c r="B11" s="209">
        <f>IFERROR(VLOOKUP(F11,[1]Реестр!A:K,4,0)*H11/G11,"")</f>
        <v>0.24</v>
      </c>
      <c r="C11" s="209">
        <f>IFERROR(VLOOKUP(F11,[1]Реестр!A:K,5,0)*H11/G11,"")</f>
        <v>6.68</v>
      </c>
      <c r="D11" s="209">
        <f>IFERROR(VLOOKUP(F11,[1]Реестр!A:K,6,0)*H11/G11,"")</f>
        <v>38.6</v>
      </c>
      <c r="E11" s="210" t="str">
        <f>IFERROR(VLOOKUP(F11,[1]Реестр!A:K,11,0),"")</f>
        <v>-</v>
      </c>
      <c r="F11" s="217" t="s">
        <v>65</v>
      </c>
      <c r="G11" s="211" t="str">
        <f>IFERROR(VLOOKUP(F11,[1]Реестр!A:K,2,0),"")</f>
        <v>100</v>
      </c>
      <c r="H11" s="206">
        <v>20</v>
      </c>
      <c r="I11" s="207">
        <v>1.8</v>
      </c>
      <c r="J11" s="206"/>
      <c r="K11" s="208"/>
    </row>
    <row r="12" spans="1:12" ht="18" customHeight="1" x14ac:dyDescent="0.3">
      <c r="A12" s="464" t="s">
        <v>16</v>
      </c>
      <c r="B12" s="464"/>
      <c r="C12" s="464"/>
      <c r="D12" s="464"/>
      <c r="E12" s="464"/>
      <c r="F12" s="464"/>
      <c r="G12" s="205"/>
      <c r="H12" s="206"/>
      <c r="I12" s="207">
        <f>SUM(I7:I11)</f>
        <v>108.64</v>
      </c>
      <c r="J12" s="206">
        <v>108.64</v>
      </c>
      <c r="K12" s="208">
        <f>I12-J12</f>
        <v>0</v>
      </c>
      <c r="L12" s="208"/>
    </row>
    <row r="13" spans="1:12" ht="18" customHeight="1" x14ac:dyDescent="0.3">
      <c r="A13" s="462" t="s">
        <v>17</v>
      </c>
      <c r="B13" s="462"/>
      <c r="C13" s="462"/>
      <c r="D13" s="462"/>
      <c r="E13" s="462"/>
      <c r="F13" s="462"/>
      <c r="G13" s="462"/>
      <c r="H13" s="462"/>
      <c r="I13" s="462"/>
      <c r="J13" s="212"/>
    </row>
    <row r="14" spans="1:12" ht="30" x14ac:dyDescent="0.3">
      <c r="A14" s="367">
        <v>1.03</v>
      </c>
      <c r="B14" s="353">
        <v>4.7699999999999996</v>
      </c>
      <c r="C14" s="353">
        <v>6.38</v>
      </c>
      <c r="D14" s="353">
        <v>68.989999999999995</v>
      </c>
      <c r="E14" s="357" t="str">
        <f>"7/80"</f>
        <v>7/80</v>
      </c>
      <c r="F14" s="228" t="s">
        <v>678</v>
      </c>
      <c r="G14" s="211" t="str">
        <f>IFERROR(VLOOKUP(F14,[2]Реестр!A:K,2,0),"")</f>
        <v/>
      </c>
      <c r="H14" s="210">
        <v>80</v>
      </c>
      <c r="I14" s="230">
        <v>21.73</v>
      </c>
      <c r="J14" s="201" t="str">
        <f>IFERROR(VLOOKUP(O14,Реестр!#REF!,3,0)*Q14/P14,"")</f>
        <v/>
      </c>
    </row>
    <row r="15" spans="1:12" ht="18" customHeight="1" x14ac:dyDescent="0.3">
      <c r="A15" s="263">
        <v>5.55</v>
      </c>
      <c r="B15" s="263">
        <v>7.8</v>
      </c>
      <c r="C15" s="263">
        <v>15.95</v>
      </c>
      <c r="D15" s="263">
        <v>199.78905478333331</v>
      </c>
      <c r="E15" s="350" t="str">
        <f>"6/70"</f>
        <v>6/70</v>
      </c>
      <c r="F15" s="350" t="s">
        <v>220</v>
      </c>
      <c r="G15" s="211" t="str">
        <f>IFERROR(VLOOKUP(F15,[2]Реестр!A:K,2,0),"")</f>
        <v>300</v>
      </c>
      <c r="H15" s="206">
        <v>250</v>
      </c>
      <c r="I15" s="207">
        <v>42</v>
      </c>
      <c r="J15" s="201" t="str">
        <f>IFERROR(VLOOKUP(O15,Реестр!#REF!,3,0)*Q15/P15,"")</f>
        <v/>
      </c>
    </row>
    <row r="16" spans="1:12" ht="18" customHeight="1" x14ac:dyDescent="0.3">
      <c r="A16" s="263">
        <v>16.579999999999998</v>
      </c>
      <c r="B16" s="263">
        <v>19.5</v>
      </c>
      <c r="C16" s="263">
        <v>68.38</v>
      </c>
      <c r="D16" s="263">
        <v>327.07</v>
      </c>
      <c r="E16" s="349" t="str">
        <f>"8/35"</f>
        <v>8/35</v>
      </c>
      <c r="F16" s="349" t="s">
        <v>549</v>
      </c>
      <c r="G16" s="211" t="str">
        <f>IFERROR(VLOOKUP(F16,[2]Реестр!A:K,2,0),"")</f>
        <v/>
      </c>
      <c r="H16" s="206">
        <v>200</v>
      </c>
      <c r="I16" s="206">
        <v>87.64</v>
      </c>
      <c r="J16" s="201" t="str">
        <f>IFERROR(VLOOKUP(O16,Реестр!#REF!,3,0)*Q16/P16,"")</f>
        <v/>
      </c>
    </row>
    <row r="17" spans="1:12" ht="18" customHeight="1" x14ac:dyDescent="0.3">
      <c r="A17" s="263">
        <v>0.14000000000000001</v>
      </c>
      <c r="B17" s="263">
        <v>0.1</v>
      </c>
      <c r="C17" s="263">
        <v>1.5</v>
      </c>
      <c r="D17" s="263">
        <v>83.962620000000015</v>
      </c>
      <c r="E17" s="349" t="str">
        <f>"11/1"</f>
        <v>11/1</v>
      </c>
      <c r="F17" s="349" t="s">
        <v>317</v>
      </c>
      <c r="G17" s="211">
        <f>IFERROR(VLOOKUP(F17,[2]Реестр!A:K,2,0),"")</f>
        <v>200</v>
      </c>
      <c r="H17" s="206">
        <v>200</v>
      </c>
      <c r="I17" s="207">
        <v>4.38</v>
      </c>
      <c r="J17" s="201"/>
    </row>
    <row r="18" spans="1:12" ht="18" customHeight="1" x14ac:dyDescent="0.3">
      <c r="A18" s="209">
        <v>2.64</v>
      </c>
      <c r="B18" s="209">
        <v>0.24</v>
      </c>
      <c r="C18" s="209">
        <v>18.72</v>
      </c>
      <c r="D18" s="209">
        <v>89.6</v>
      </c>
      <c r="E18" s="210" t="s">
        <v>471</v>
      </c>
      <c r="F18" s="217" t="s">
        <v>66</v>
      </c>
      <c r="G18" s="211" t="str">
        <f>IFERROR(VLOOKUP(F18,[2]Реестр!A:K,2,0),"")</f>
        <v>100</v>
      </c>
      <c r="H18" s="206">
        <v>40</v>
      </c>
      <c r="I18" s="207">
        <v>3.6</v>
      </c>
      <c r="J18" s="201" t="str">
        <f>IFERROR(VLOOKUP(O18,Реестр!#REF!,3,0)*Q18/P18,"")</f>
        <v/>
      </c>
    </row>
    <row r="19" spans="1:12" ht="18" customHeight="1" x14ac:dyDescent="0.3">
      <c r="A19" s="209">
        <v>2.64</v>
      </c>
      <c r="B19" s="209">
        <v>0.48</v>
      </c>
      <c r="C19" s="209">
        <v>13.36</v>
      </c>
      <c r="D19" s="209">
        <v>77.2</v>
      </c>
      <c r="E19" s="210" t="s">
        <v>471</v>
      </c>
      <c r="F19" s="217" t="s">
        <v>65</v>
      </c>
      <c r="G19" s="211" t="str">
        <f>IFERROR(VLOOKUP(F19,[2]Реестр!A:K,2,0),"")</f>
        <v>100</v>
      </c>
      <c r="H19" s="206">
        <v>40</v>
      </c>
      <c r="I19" s="207">
        <v>3.6</v>
      </c>
      <c r="J19" s="201" t="str">
        <f>IFERROR(VLOOKUP(O19,Реестр!#REF!,3,0)*Q19/P19,"")</f>
        <v/>
      </c>
    </row>
    <row r="20" spans="1:12" ht="18" customHeight="1" x14ac:dyDescent="0.3">
      <c r="A20" s="209"/>
      <c r="B20" s="209"/>
      <c r="C20" s="209"/>
      <c r="D20" s="209"/>
      <c r="E20" s="218"/>
      <c r="F20" s="217"/>
      <c r="G20" s="211"/>
      <c r="H20" s="206"/>
      <c r="I20" s="207"/>
      <c r="J20" s="201"/>
    </row>
    <row r="21" spans="1:12" ht="18.75" x14ac:dyDescent="0.3">
      <c r="A21" s="464" t="s">
        <v>16</v>
      </c>
      <c r="B21" s="464"/>
      <c r="C21" s="464"/>
      <c r="D21" s="464"/>
      <c r="E21" s="464"/>
      <c r="F21" s="464"/>
      <c r="G21" s="205"/>
      <c r="H21" s="206"/>
      <c r="I21" s="207">
        <f>SUM(I14:I20)</f>
        <v>162.94999999999999</v>
      </c>
      <c r="J21" s="206">
        <v>162.94999999999999</v>
      </c>
      <c r="K21" s="208">
        <f>J21-I21</f>
        <v>0</v>
      </c>
    </row>
    <row r="22" spans="1:12" ht="18.75" x14ac:dyDescent="0.3">
      <c r="A22" s="462" t="s">
        <v>500</v>
      </c>
      <c r="B22" s="462"/>
      <c r="C22" s="462"/>
      <c r="D22" s="462"/>
      <c r="E22" s="462"/>
      <c r="F22" s="462"/>
      <c r="G22" s="462"/>
      <c r="H22" s="462"/>
      <c r="I22" s="462"/>
      <c r="J22" s="212"/>
    </row>
    <row r="23" spans="1:12" ht="18.75" x14ac:dyDescent="0.25">
      <c r="A23" s="369">
        <v>0.24</v>
      </c>
      <c r="B23" s="369">
        <v>0.03</v>
      </c>
      <c r="C23" s="369">
        <v>0.74</v>
      </c>
      <c r="D23" s="369">
        <v>4.2</v>
      </c>
      <c r="E23" s="370" t="str">
        <f>"7/10"</f>
        <v>7/10</v>
      </c>
      <c r="F23" s="265" t="s">
        <v>679</v>
      </c>
      <c r="G23" s="211" t="str">
        <f>IFERROR(VLOOKUP(F23,[1]Реестр!A:K,2,0),"")</f>
        <v/>
      </c>
      <c r="H23" s="210">
        <v>30</v>
      </c>
      <c r="I23" s="230">
        <v>7.43</v>
      </c>
      <c r="J23" s="212"/>
    </row>
    <row r="24" spans="1:12" ht="18.75" x14ac:dyDescent="0.3">
      <c r="A24" s="348">
        <v>19.440000000000001</v>
      </c>
      <c r="B24" s="348">
        <v>21.37</v>
      </c>
      <c r="C24" s="348">
        <v>55.36</v>
      </c>
      <c r="D24" s="348">
        <v>508.5</v>
      </c>
      <c r="E24" s="349" t="str">
        <f>"8/35"</f>
        <v>8/35</v>
      </c>
      <c r="F24" s="349" t="s">
        <v>549</v>
      </c>
      <c r="G24" s="211" t="str">
        <f>IFERROR(VLOOKUP(F24,[2]Реестр!A:K,2,0),"")</f>
        <v/>
      </c>
      <c r="H24" s="206">
        <v>250</v>
      </c>
      <c r="I24" s="206">
        <v>109.55</v>
      </c>
      <c r="J24" s="201" t="str">
        <f>IFERROR(VLOOKUP(O24,Реестр!#REF!,3,0)*Q24/P24,"")</f>
        <v/>
      </c>
    </row>
    <row r="25" spans="1:12" ht="18.75" x14ac:dyDescent="0.3">
      <c r="A25" s="263">
        <v>0.14000000000000001</v>
      </c>
      <c r="B25" s="263">
        <v>0.1</v>
      </c>
      <c r="C25" s="263">
        <v>1.5</v>
      </c>
      <c r="D25" s="263">
        <v>83.962620000000015</v>
      </c>
      <c r="E25" s="349" t="str">
        <f>"11/1"</f>
        <v>11/1</v>
      </c>
      <c r="F25" s="349" t="s">
        <v>317</v>
      </c>
      <c r="G25" s="211">
        <f>IFERROR(VLOOKUP(F25,[2]Реестр!A:K,2,0),"")</f>
        <v>200</v>
      </c>
      <c r="H25" s="206">
        <v>200</v>
      </c>
      <c r="I25" s="207">
        <v>4.38</v>
      </c>
      <c r="J25" s="201"/>
    </row>
    <row r="26" spans="1:12" ht="18.75" x14ac:dyDescent="0.3">
      <c r="A26" s="209">
        <v>2.64</v>
      </c>
      <c r="B26" s="209">
        <v>0.24</v>
      </c>
      <c r="C26" s="209">
        <v>18.72</v>
      </c>
      <c r="D26" s="209">
        <v>89.6</v>
      </c>
      <c r="E26" s="210" t="s">
        <v>471</v>
      </c>
      <c r="F26" s="217" t="s">
        <v>66</v>
      </c>
      <c r="G26" s="211" t="str">
        <f>IFERROR(VLOOKUP(F26,[2]Реестр!A:K,2,0),"")</f>
        <v>100</v>
      </c>
      <c r="H26" s="206">
        <v>40</v>
      </c>
      <c r="I26" s="207">
        <v>3.6</v>
      </c>
      <c r="J26" s="201" t="str">
        <f>IFERROR(VLOOKUP(O26,Реестр!#REF!,3,0)*Q26/P26,"")</f>
        <v/>
      </c>
    </row>
    <row r="27" spans="1:12" ht="18.75" x14ac:dyDescent="0.3">
      <c r="A27" s="209">
        <v>2.64</v>
      </c>
      <c r="B27" s="209">
        <v>0.48</v>
      </c>
      <c r="C27" s="209">
        <v>13.36</v>
      </c>
      <c r="D27" s="209">
        <v>77.2</v>
      </c>
      <c r="E27" s="210" t="s">
        <v>471</v>
      </c>
      <c r="F27" s="217" t="s">
        <v>65</v>
      </c>
      <c r="G27" s="211" t="str">
        <f>IFERROR(VLOOKUP(F27,[2]Реестр!A:K,2,0),"")</f>
        <v>100</v>
      </c>
      <c r="H27" s="206">
        <v>40</v>
      </c>
      <c r="I27" s="207">
        <v>3.6</v>
      </c>
      <c r="J27" s="201"/>
    </row>
    <row r="28" spans="1:12" ht="18.75" x14ac:dyDescent="0.3">
      <c r="A28" s="209"/>
      <c r="B28" s="209"/>
      <c r="C28" s="209"/>
      <c r="D28" s="209"/>
      <c r="E28" s="210"/>
      <c r="F28" s="217"/>
      <c r="G28" s="211"/>
      <c r="H28" s="206"/>
      <c r="I28" s="207"/>
      <c r="J28" s="201"/>
    </row>
    <row r="29" spans="1:12" ht="18.75" x14ac:dyDescent="0.3">
      <c r="A29" s="453" t="s">
        <v>16</v>
      </c>
      <c r="B29" s="454"/>
      <c r="C29" s="454"/>
      <c r="D29" s="454"/>
      <c r="E29" s="454"/>
      <c r="F29" s="455"/>
      <c r="G29" s="205"/>
      <c r="H29" s="206"/>
      <c r="I29" s="207">
        <f>SUM(I23:I28)</f>
        <v>128.55999999999997</v>
      </c>
      <c r="J29" s="206">
        <v>128.56</v>
      </c>
      <c r="K29" s="208">
        <f>I29-J29</f>
        <v>0</v>
      </c>
      <c r="L29" s="208"/>
    </row>
    <row r="30" spans="1:12" ht="18.75" x14ac:dyDescent="0.3">
      <c r="A30" s="462" t="s">
        <v>501</v>
      </c>
      <c r="B30" s="462"/>
      <c r="C30" s="462"/>
      <c r="D30" s="462"/>
      <c r="E30" s="462"/>
      <c r="F30" s="462"/>
      <c r="G30" s="462"/>
      <c r="H30" s="462"/>
      <c r="I30" s="462"/>
      <c r="J30" s="201"/>
    </row>
    <row r="31" spans="1:12" ht="18.75" x14ac:dyDescent="0.3">
      <c r="A31" s="368">
        <v>1.29</v>
      </c>
      <c r="B31" s="368">
        <v>5.97</v>
      </c>
      <c r="C31" s="368">
        <v>7.97</v>
      </c>
      <c r="D31" s="368">
        <v>86.23</v>
      </c>
      <c r="E31" s="357" t="str">
        <f>"7/80"</f>
        <v>7/80</v>
      </c>
      <c r="F31" s="228" t="s">
        <v>680</v>
      </c>
      <c r="G31" s="211" t="str">
        <f>IFERROR(VLOOKUP(F31,[2]Реестр!A:K,2,0),"")</f>
        <v/>
      </c>
      <c r="H31" s="210">
        <v>100</v>
      </c>
      <c r="I31" s="230">
        <v>27.91</v>
      </c>
      <c r="J31" s="201"/>
    </row>
    <row r="32" spans="1:12" ht="18.75" x14ac:dyDescent="0.3">
      <c r="A32" s="263">
        <v>12.44</v>
      </c>
      <c r="B32" s="263">
        <v>7.77</v>
      </c>
      <c r="C32" s="263">
        <v>25.16</v>
      </c>
      <c r="D32" s="263">
        <v>208</v>
      </c>
      <c r="E32" s="267" t="str">
        <f>"6/70"</f>
        <v>6/70</v>
      </c>
      <c r="F32" s="267" t="s">
        <v>220</v>
      </c>
      <c r="G32" s="211" t="str">
        <f>IFERROR(VLOOKUP(F32,[2]Реестр!A:K,2,0),"")</f>
        <v>300</v>
      </c>
      <c r="H32" s="206">
        <v>250</v>
      </c>
      <c r="I32" s="207">
        <v>42</v>
      </c>
      <c r="J32" s="206"/>
      <c r="K32" s="208">
        <f>I38-J32</f>
        <v>192.83999999999997</v>
      </c>
    </row>
    <row r="33" spans="1:12" ht="18.75" x14ac:dyDescent="0.3">
      <c r="A33" s="348">
        <v>19.440000000000001</v>
      </c>
      <c r="B33" s="348">
        <v>21.37</v>
      </c>
      <c r="C33" s="348">
        <v>55.36</v>
      </c>
      <c r="D33" s="348">
        <v>508.5</v>
      </c>
      <c r="E33" s="349" t="str">
        <f>"8/35"</f>
        <v>8/35</v>
      </c>
      <c r="F33" s="349" t="s">
        <v>549</v>
      </c>
      <c r="G33" s="211" t="str">
        <f>IFERROR(VLOOKUP(F33,[2]Реестр!A:K,2,0),"")</f>
        <v/>
      </c>
      <c r="H33" s="206">
        <v>250</v>
      </c>
      <c r="I33" s="206">
        <v>109.55</v>
      </c>
      <c r="J33" s="212"/>
    </row>
    <row r="34" spans="1:12" ht="18.75" x14ac:dyDescent="0.3">
      <c r="A34" s="263">
        <v>0.14000000000000001</v>
      </c>
      <c r="B34" s="263">
        <v>0.1</v>
      </c>
      <c r="C34" s="263">
        <v>1.5</v>
      </c>
      <c r="D34" s="263">
        <v>83.962620000000015</v>
      </c>
      <c r="E34" s="349" t="str">
        <f>"11/1"</f>
        <v>11/1</v>
      </c>
      <c r="F34" s="349" t="s">
        <v>317</v>
      </c>
      <c r="G34" s="211">
        <f>IFERROR(VLOOKUP(F34,[2]Реестр!A:K,2,0),"")</f>
        <v>200</v>
      </c>
      <c r="H34" s="206">
        <v>200</v>
      </c>
      <c r="I34" s="207">
        <v>4.38</v>
      </c>
      <c r="J34" s="212"/>
    </row>
    <row r="35" spans="1:12" ht="18.75" x14ac:dyDescent="0.3">
      <c r="A35" s="209">
        <v>3.3</v>
      </c>
      <c r="B35" s="209">
        <v>0.3</v>
      </c>
      <c r="C35" s="209">
        <v>23.4</v>
      </c>
      <c r="D35" s="209">
        <v>112</v>
      </c>
      <c r="E35" s="210" t="s">
        <v>471</v>
      </c>
      <c r="F35" s="217" t="s">
        <v>66</v>
      </c>
      <c r="G35" s="211" t="str">
        <f>IFERROR(VLOOKUP(F35,[2]Реестр!A:K,2,0),"")</f>
        <v>100</v>
      </c>
      <c r="H35" s="206">
        <v>50</v>
      </c>
      <c r="I35" s="207">
        <v>4.5</v>
      </c>
      <c r="J35" s="212"/>
    </row>
    <row r="36" spans="1:12" ht="18.75" x14ac:dyDescent="0.3">
      <c r="A36" s="209">
        <v>3.3</v>
      </c>
      <c r="B36" s="209">
        <v>0.6</v>
      </c>
      <c r="C36" s="209">
        <v>16.7</v>
      </c>
      <c r="D36" s="209">
        <v>96.5</v>
      </c>
      <c r="E36" s="210" t="s">
        <v>471</v>
      </c>
      <c r="F36" s="217" t="s">
        <v>65</v>
      </c>
      <c r="G36" s="211" t="str">
        <f>IFERROR(VLOOKUP(F36,[2]Реестр!A:K,2,0),"")</f>
        <v>100</v>
      </c>
      <c r="H36" s="206">
        <v>50</v>
      </c>
      <c r="I36" s="207">
        <v>4.5</v>
      </c>
      <c r="J36" s="352"/>
    </row>
    <row r="37" spans="1:12" ht="18.75" x14ac:dyDescent="0.3">
      <c r="A37" s="209"/>
      <c r="B37" s="209"/>
      <c r="C37" s="209"/>
      <c r="D37" s="209"/>
      <c r="E37" s="218"/>
      <c r="F37" s="217"/>
      <c r="G37" s="211"/>
      <c r="H37" s="206"/>
      <c r="I37" s="207"/>
      <c r="J37" s="352"/>
    </row>
    <row r="38" spans="1:12" ht="18.75" x14ac:dyDescent="0.3">
      <c r="A38" s="453" t="s">
        <v>16</v>
      </c>
      <c r="B38" s="454"/>
      <c r="C38" s="454"/>
      <c r="D38" s="454"/>
      <c r="E38" s="454"/>
      <c r="F38" s="455"/>
      <c r="G38" s="205"/>
      <c r="H38" s="206"/>
      <c r="I38" s="207">
        <f>SUM(I31:I37)</f>
        <v>192.83999999999997</v>
      </c>
      <c r="J38" s="206">
        <v>192.84</v>
      </c>
      <c r="K38" s="208">
        <f>I38-J38</f>
        <v>0</v>
      </c>
    </row>
    <row r="39" spans="1:12" ht="18.75" x14ac:dyDescent="0.3">
      <c r="A39" s="462" t="s">
        <v>18</v>
      </c>
      <c r="B39" s="462"/>
      <c r="C39" s="462"/>
      <c r="D39" s="462"/>
      <c r="E39" s="462"/>
      <c r="F39" s="462"/>
      <c r="G39" s="462"/>
      <c r="H39" s="462"/>
      <c r="I39" s="462"/>
      <c r="J39" s="352"/>
    </row>
    <row r="40" spans="1:12" ht="18.75" x14ac:dyDescent="0.3">
      <c r="A40" s="462" t="s">
        <v>19</v>
      </c>
      <c r="B40" s="462"/>
      <c r="C40" s="462"/>
      <c r="D40" s="462"/>
      <c r="E40" s="462"/>
      <c r="F40" s="462"/>
      <c r="G40" s="462"/>
      <c r="H40" s="462"/>
      <c r="I40" s="462"/>
      <c r="J40" s="352"/>
    </row>
    <row r="41" spans="1:12" ht="18.75" x14ac:dyDescent="0.3">
      <c r="A41" s="209">
        <f>IFERROR(VLOOKUP(F41,[1]Реестр!A:K,3,0)*H41/G41,"")</f>
        <v>3.84</v>
      </c>
      <c r="B41" s="209">
        <f>IFERROR(VLOOKUP(F41,[1]Реестр!A:K,4,0)*H41/G41,"")</f>
        <v>10.1</v>
      </c>
      <c r="C41" s="209">
        <f>IFERROR(VLOOKUP(F41,[1]Реестр!A:K,5,0)*H41/G41,"")</f>
        <v>9.77</v>
      </c>
      <c r="D41" s="209">
        <f>IFERROR(VLOOKUP(F41,[1]Реестр!A:K,6,0)*H41/G41,"")</f>
        <v>145.38300000000001</v>
      </c>
      <c r="E41" s="210" t="str">
        <f>IFERROR(VLOOKUP(F41,[1]Реестр!A:K,11,0),"")</f>
        <v>1*57</v>
      </c>
      <c r="F41" s="355" t="s">
        <v>106</v>
      </c>
      <c r="G41" s="211" t="str">
        <f>IFERROR(VLOOKUP(F41,[1]Реестр!A:K,2,0),"")</f>
        <v>40</v>
      </c>
      <c r="H41" s="210">
        <v>40</v>
      </c>
      <c r="I41" s="207">
        <v>26.85</v>
      </c>
      <c r="J41" s="352" t="s">
        <v>20</v>
      </c>
    </row>
    <row r="42" spans="1:12" ht="18.75" x14ac:dyDescent="0.3">
      <c r="A42" s="209">
        <v>9.75</v>
      </c>
      <c r="B42" s="209">
        <v>12.14</v>
      </c>
      <c r="C42" s="209">
        <v>36.06</v>
      </c>
      <c r="D42" s="209">
        <v>291.64</v>
      </c>
      <c r="E42" s="349" t="str">
        <f>"2/57"</f>
        <v>2/57</v>
      </c>
      <c r="F42" s="349" t="s">
        <v>665</v>
      </c>
      <c r="G42" s="211" t="str">
        <f>IFERROR(VLOOKUP(F42,[1]Реестр!A:K,2,0),"")</f>
        <v/>
      </c>
      <c r="H42" s="210">
        <v>210</v>
      </c>
      <c r="I42" s="207">
        <v>38.270000000000003</v>
      </c>
      <c r="J42" s="352" t="s">
        <v>537</v>
      </c>
      <c r="K42" s="237"/>
      <c r="L42" s="237"/>
    </row>
    <row r="43" spans="1:12" ht="18.75" x14ac:dyDescent="0.3">
      <c r="A43" s="209">
        <f>IFERROR(VLOOKUP(F43,[1]Реестр!A:K,3,0)*H43/G43,"")</f>
        <v>0.15</v>
      </c>
      <c r="B43" s="209">
        <f>IFERROR(VLOOKUP(F43,[1]Реестр!A:K,4,0)*H43/G43,"")</f>
        <v>0.09</v>
      </c>
      <c r="C43" s="209">
        <f>IFERROR(VLOOKUP(F43,[1]Реестр!A:K,5,0)*H43/G43,"")</f>
        <v>8.58</v>
      </c>
      <c r="D43" s="209">
        <f>IFERROR(VLOOKUP(F43,[1]Реестр!A:K,6,0)*H43/G43,"")</f>
        <v>34.799999999999997</v>
      </c>
      <c r="E43" s="210" t="str">
        <f>IFERROR(VLOOKUP(F43,[1]Реестр!A:K,11,0),"")</f>
        <v>12*2</v>
      </c>
      <c r="F43" s="356" t="s">
        <v>371</v>
      </c>
      <c r="G43" s="211" t="str">
        <f>IFERROR(VLOOKUP(F43,[1]Реестр!A:K,2,0),"")</f>
        <v>100</v>
      </c>
      <c r="H43" s="210">
        <v>30</v>
      </c>
      <c r="I43" s="207">
        <v>17.559999999999999</v>
      </c>
      <c r="J43" s="352" t="s">
        <v>477</v>
      </c>
      <c r="K43" s="237"/>
      <c r="L43" s="237"/>
    </row>
    <row r="44" spans="1:12" ht="18.75" x14ac:dyDescent="0.3">
      <c r="A44" s="209">
        <f>IFERROR(VLOOKUP(F44,[1]Реестр!A:K,3,0)*H44/G44,"")</f>
        <v>1.4</v>
      </c>
      <c r="B44" s="209">
        <f>IFERROR(VLOOKUP(F44,[1]Реестр!A:K,4,0)*H44/G44,"")</f>
        <v>1.1000000000000001</v>
      </c>
      <c r="C44" s="209">
        <f>IFERROR(VLOOKUP(F44,[1]Реестр!A:K,5,0)*H44/G44,"")</f>
        <v>16.600000000000001</v>
      </c>
      <c r="D44" s="209">
        <f>IFERROR(VLOOKUP(F44,[1]Реестр!A:K,6,0)*H44/G44,"")</f>
        <v>79</v>
      </c>
      <c r="E44" s="349" t="str">
        <f>"11/59"</f>
        <v>11/59</v>
      </c>
      <c r="F44" s="349" t="s">
        <v>357</v>
      </c>
      <c r="G44" s="211" t="str">
        <f>IFERROR(VLOOKUP(F44,[1]Реестр!A:K,2,0),"")</f>
        <v>200</v>
      </c>
      <c r="H44" s="206">
        <v>200</v>
      </c>
      <c r="I44" s="207">
        <v>24.16</v>
      </c>
      <c r="J44" s="352" t="s">
        <v>479</v>
      </c>
      <c r="K44" s="237"/>
      <c r="L44" s="237"/>
    </row>
    <row r="45" spans="1:12" ht="18.75" x14ac:dyDescent="0.3">
      <c r="A45" s="209">
        <f>IFERROR(VLOOKUP(F45,[1]Реестр!A:K,3,0)*H45/G45,"")</f>
        <v>1.32</v>
      </c>
      <c r="B45" s="209">
        <f>IFERROR(VLOOKUP(F45,[1]Реестр!A:K,4,0)*H45/G45,"")</f>
        <v>0.24</v>
      </c>
      <c r="C45" s="209">
        <f>IFERROR(VLOOKUP(F45,[1]Реестр!A:K,5,0)*H45/G45,"")</f>
        <v>6.68</v>
      </c>
      <c r="D45" s="209">
        <f>IFERROR(VLOOKUP(F45,[1]Реестр!A:K,6,0)*H45/G45,"")</f>
        <v>38.6</v>
      </c>
      <c r="E45" s="210" t="str">
        <f>IFERROR(VLOOKUP(F45,[1]Реестр!A:K,11,0),"")</f>
        <v>-</v>
      </c>
      <c r="F45" s="217" t="s">
        <v>65</v>
      </c>
      <c r="G45" s="211" t="str">
        <f>IFERROR(VLOOKUP(F45,[1]Реестр!A:K,2,0),"")</f>
        <v>100</v>
      </c>
      <c r="H45" s="206">
        <v>20</v>
      </c>
      <c r="I45" s="207">
        <v>1.8</v>
      </c>
      <c r="J45" s="352" t="s">
        <v>475</v>
      </c>
      <c r="K45" s="238"/>
      <c r="L45" s="237"/>
    </row>
    <row r="46" spans="1:12" ht="18.75" x14ac:dyDescent="0.3">
      <c r="A46" s="465" t="s">
        <v>25</v>
      </c>
      <c r="B46" s="466"/>
      <c r="C46" s="466"/>
      <c r="D46" s="466"/>
      <c r="E46" s="466"/>
      <c r="F46" s="466"/>
      <c r="G46" s="466"/>
      <c r="H46" s="466"/>
      <c r="I46" s="467"/>
      <c r="J46" s="352"/>
    </row>
    <row r="47" spans="1:12" s="234" customFormat="1" ht="30" x14ac:dyDescent="0.25">
      <c r="A47" s="367">
        <v>1.03</v>
      </c>
      <c r="B47" s="353">
        <v>4.7699999999999996</v>
      </c>
      <c r="C47" s="353">
        <v>6.38</v>
      </c>
      <c r="D47" s="353">
        <v>68.989999999999995</v>
      </c>
      <c r="E47" s="357" t="str">
        <f>"7/80"</f>
        <v>7/80</v>
      </c>
      <c r="F47" s="228" t="s">
        <v>678</v>
      </c>
      <c r="G47" s="211" t="str">
        <f>IFERROR(VLOOKUP(F47,[2]Реестр!A:K,2,0),"")</f>
        <v/>
      </c>
      <c r="H47" s="210">
        <v>80</v>
      </c>
      <c r="I47" s="230">
        <v>21.73</v>
      </c>
      <c r="J47" s="239" t="s">
        <v>538</v>
      </c>
    </row>
    <row r="48" spans="1:12" ht="18.75" x14ac:dyDescent="0.3">
      <c r="A48" s="263">
        <v>5.55</v>
      </c>
      <c r="B48" s="263">
        <v>7.8</v>
      </c>
      <c r="C48" s="263">
        <v>15.95</v>
      </c>
      <c r="D48" s="263">
        <v>199.78905478333331</v>
      </c>
      <c r="E48" s="350" t="str">
        <f>"6/70"</f>
        <v>6/70</v>
      </c>
      <c r="F48" s="350" t="s">
        <v>220</v>
      </c>
      <c r="G48" s="211" t="str">
        <f>IFERROR(VLOOKUP(F48,[2]Реестр!A:K,2,0),"")</f>
        <v>300</v>
      </c>
      <c r="H48" s="206">
        <v>250</v>
      </c>
      <c r="I48" s="207">
        <v>42</v>
      </c>
      <c r="J48" s="352" t="s">
        <v>478</v>
      </c>
    </row>
    <row r="49" spans="1:11" ht="18.75" x14ac:dyDescent="0.3">
      <c r="A49" s="263">
        <v>16.579999999999998</v>
      </c>
      <c r="B49" s="263">
        <v>19.5</v>
      </c>
      <c r="C49" s="263">
        <v>68.38</v>
      </c>
      <c r="D49" s="263">
        <v>327.07</v>
      </c>
      <c r="E49" s="349" t="str">
        <f>"8/35"</f>
        <v>8/35</v>
      </c>
      <c r="F49" s="349" t="s">
        <v>549</v>
      </c>
      <c r="G49" s="211" t="str">
        <f>IFERROR(VLOOKUP(F49,[2]Реестр!A:K,2,0),"")</f>
        <v/>
      </c>
      <c r="H49" s="206">
        <v>200</v>
      </c>
      <c r="I49" s="206">
        <v>87.64</v>
      </c>
      <c r="J49" s="352" t="s">
        <v>537</v>
      </c>
    </row>
    <row r="50" spans="1:11" ht="18.75" x14ac:dyDescent="0.3">
      <c r="A50" s="263">
        <v>0.14000000000000001</v>
      </c>
      <c r="B50" s="263">
        <v>0.1</v>
      </c>
      <c r="C50" s="263">
        <v>1.5</v>
      </c>
      <c r="D50" s="263">
        <v>83.962620000000015</v>
      </c>
      <c r="E50" s="349" t="str">
        <f>"11/1"</f>
        <v>11/1</v>
      </c>
      <c r="F50" s="349" t="s">
        <v>317</v>
      </c>
      <c r="G50" s="211">
        <f>IFERROR(VLOOKUP(F50,[2]Реестр!A:K,2,0),"")</f>
        <v>200</v>
      </c>
      <c r="H50" s="206">
        <v>200</v>
      </c>
      <c r="I50" s="207">
        <v>4.38</v>
      </c>
      <c r="J50" s="352" t="s">
        <v>29</v>
      </c>
    </row>
    <row r="51" spans="1:11" ht="18.75" x14ac:dyDescent="0.3">
      <c r="A51" s="209">
        <v>2.64</v>
      </c>
      <c r="B51" s="209">
        <v>0.24</v>
      </c>
      <c r="C51" s="209">
        <v>18.72</v>
      </c>
      <c r="D51" s="209">
        <v>89.6</v>
      </c>
      <c r="E51" s="210" t="s">
        <v>471</v>
      </c>
      <c r="F51" s="217" t="s">
        <v>66</v>
      </c>
      <c r="G51" s="211" t="str">
        <f>IFERROR(VLOOKUP(F51,[2]Реестр!A:K,2,0),"")</f>
        <v>100</v>
      </c>
      <c r="H51" s="206">
        <v>40</v>
      </c>
      <c r="I51" s="207">
        <v>3.6</v>
      </c>
      <c r="J51" s="352" t="s">
        <v>479</v>
      </c>
    </row>
    <row r="52" spans="1:11" ht="18.75" x14ac:dyDescent="0.3">
      <c r="A52" s="209">
        <v>2.64</v>
      </c>
      <c r="B52" s="209">
        <v>0.48</v>
      </c>
      <c r="C52" s="209">
        <v>13.36</v>
      </c>
      <c r="D52" s="209">
        <v>77.2</v>
      </c>
      <c r="E52" s="210" t="s">
        <v>471</v>
      </c>
      <c r="F52" s="217" t="s">
        <v>65</v>
      </c>
      <c r="G52" s="211" t="str">
        <f>IFERROR(VLOOKUP(F52,[2]Реестр!A:K,2,0),"")</f>
        <v>100</v>
      </c>
      <c r="H52" s="206">
        <v>40</v>
      </c>
      <c r="I52" s="207">
        <v>3.6</v>
      </c>
      <c r="J52" s="352" t="s">
        <v>539</v>
      </c>
    </row>
    <row r="53" spans="1:11" ht="18.75" x14ac:dyDescent="0.3">
      <c r="A53" s="209"/>
      <c r="B53" s="209"/>
      <c r="C53" s="209"/>
      <c r="D53" s="209"/>
      <c r="E53" s="218"/>
      <c r="F53" s="217"/>
      <c r="G53" s="211"/>
      <c r="H53" s="206"/>
      <c r="I53" s="207"/>
      <c r="J53" s="352" t="s">
        <v>540</v>
      </c>
    </row>
    <row r="54" spans="1:11" ht="18.75" x14ac:dyDescent="0.3">
      <c r="A54" s="464" t="s">
        <v>16</v>
      </c>
      <c r="B54" s="464"/>
      <c r="C54" s="464"/>
      <c r="D54" s="464"/>
      <c r="E54" s="464"/>
      <c r="F54" s="464"/>
      <c r="G54" s="206"/>
      <c r="H54" s="206"/>
      <c r="I54" s="207">
        <f>SUM(I41:I45,I47:I53)</f>
        <v>271.59000000000003</v>
      </c>
      <c r="J54" s="206">
        <v>271.58999999999997</v>
      </c>
      <c r="K54" s="208">
        <f>I54-J54</f>
        <v>0</v>
      </c>
    </row>
    <row r="55" spans="1:11" ht="18.75" x14ac:dyDescent="0.3">
      <c r="A55" s="465" t="s">
        <v>33</v>
      </c>
      <c r="B55" s="466"/>
      <c r="C55" s="466"/>
      <c r="D55" s="466"/>
      <c r="E55" s="466"/>
      <c r="F55" s="466"/>
      <c r="G55" s="466"/>
      <c r="H55" s="466"/>
      <c r="I55" s="467"/>
      <c r="J55" s="352"/>
    </row>
    <row r="56" spans="1:11" ht="18.75" x14ac:dyDescent="0.3">
      <c r="A56" s="465" t="s">
        <v>19</v>
      </c>
      <c r="B56" s="466"/>
      <c r="C56" s="466"/>
      <c r="D56" s="466"/>
      <c r="E56" s="466"/>
      <c r="F56" s="466"/>
      <c r="G56" s="466"/>
      <c r="H56" s="466"/>
      <c r="I56" s="467"/>
      <c r="J56" s="352"/>
    </row>
    <row r="57" spans="1:11" ht="18.75" x14ac:dyDescent="0.3">
      <c r="A57" s="209">
        <f>IFERROR(VLOOKUP(F57,[1]Реестр!A:K,3,0)*H57/G57,"")</f>
        <v>5.08</v>
      </c>
      <c r="B57" s="209">
        <f>IFERROR(VLOOKUP(F57,[1]Реестр!A:K,4,0)*H57/G57,"")</f>
        <v>11.55</v>
      </c>
      <c r="C57" s="209">
        <f>IFERROR(VLOOKUP(F57,[1]Реестр!A:K,5,0)*H57/G57,"")</f>
        <v>9.9700000000000006</v>
      </c>
      <c r="D57" s="209">
        <f>IFERROR(VLOOKUP(F57,[1]Реестр!A:K,6,0)*H57/G57,"")</f>
        <v>164.15</v>
      </c>
      <c r="E57" s="210" t="str">
        <f>IFERROR(VLOOKUP(F57,[1]Реестр!A:K,11,0),"")</f>
        <v>1*51</v>
      </c>
      <c r="F57" s="356" t="s">
        <v>91</v>
      </c>
      <c r="G57" s="211" t="str">
        <f>IFERROR(VLOOKUP(F57,[1]Реестр!A:K,2,0),"")</f>
        <v>45</v>
      </c>
      <c r="H57" s="206">
        <v>45</v>
      </c>
      <c r="I57" s="207">
        <v>35.799999999999997</v>
      </c>
      <c r="J57" s="352" t="s">
        <v>20</v>
      </c>
    </row>
    <row r="58" spans="1:11" ht="18.75" x14ac:dyDescent="0.3">
      <c r="A58" s="347">
        <v>10.61</v>
      </c>
      <c r="B58" s="347">
        <v>10.17</v>
      </c>
      <c r="C58" s="347">
        <v>47.32</v>
      </c>
      <c r="D58" s="347">
        <v>321.17797790000003</v>
      </c>
      <c r="E58" s="349" t="str">
        <f>"2/57"</f>
        <v>2/57</v>
      </c>
      <c r="F58" s="349" t="s">
        <v>665</v>
      </c>
      <c r="G58" s="211" t="str">
        <f>IFERROR(VLOOKUP(F58,[1]Реестр!A:K,2,0),"")</f>
        <v/>
      </c>
      <c r="H58" s="210">
        <v>250</v>
      </c>
      <c r="I58" s="207">
        <v>41.59</v>
      </c>
      <c r="J58" s="352" t="s">
        <v>537</v>
      </c>
    </row>
    <row r="59" spans="1:11" ht="18.75" x14ac:dyDescent="0.3">
      <c r="A59" s="209">
        <f>IFERROR(VLOOKUP(F59,[1]Реестр!A:K,3,0)*H59/G59,"")</f>
        <v>0.2</v>
      </c>
      <c r="B59" s="209">
        <f>IFERROR(VLOOKUP(F59,[1]Реестр!A:K,4,0)*H59/G59,"")</f>
        <v>0.12</v>
      </c>
      <c r="C59" s="209">
        <f>IFERROR(VLOOKUP(F59,[1]Реестр!A:K,5,0)*H59/G59,"")</f>
        <v>11.44</v>
      </c>
      <c r="D59" s="209">
        <f>IFERROR(VLOOKUP(F59,[1]Реестр!A:K,6,0)*H59/G59,"")</f>
        <v>46.4</v>
      </c>
      <c r="E59" s="210" t="str">
        <f>IFERROR(VLOOKUP(F59,[1]Реестр!A:K,11,0),"")</f>
        <v>12*2</v>
      </c>
      <c r="F59" s="356" t="s">
        <v>371</v>
      </c>
      <c r="G59" s="211" t="str">
        <f>IFERROR(VLOOKUP(F59,[1]Реестр!A:K,2,0),"")</f>
        <v>100</v>
      </c>
      <c r="H59" s="210">
        <v>40</v>
      </c>
      <c r="I59" s="207">
        <v>23.41</v>
      </c>
      <c r="J59" s="352" t="s">
        <v>477</v>
      </c>
    </row>
    <row r="60" spans="1:11" ht="18.75" x14ac:dyDescent="0.3">
      <c r="A60" s="209">
        <f>IFERROR(VLOOKUP(F60,[1]Реестр!A:K,3,0)*H60/G60,"")</f>
        <v>1.4</v>
      </c>
      <c r="B60" s="209">
        <f>IFERROR(VLOOKUP(F60,[1]Реестр!A:K,4,0)*H60/G60,"")</f>
        <v>1.1000000000000001</v>
      </c>
      <c r="C60" s="209">
        <f>IFERROR(VLOOKUP(F60,[1]Реестр!A:K,5,0)*H60/G60,"")</f>
        <v>16.600000000000001</v>
      </c>
      <c r="D60" s="209">
        <f>IFERROR(VLOOKUP(F60,[1]Реестр!A:K,6,0)*H60/G60,"")</f>
        <v>79</v>
      </c>
      <c r="E60" s="349" t="str">
        <f>"11/59"</f>
        <v>11/59</v>
      </c>
      <c r="F60" s="349" t="s">
        <v>357</v>
      </c>
      <c r="G60" s="211" t="str">
        <f>IFERROR(VLOOKUP(F60,[1]Реестр!A:K,2,0),"")</f>
        <v>200</v>
      </c>
      <c r="H60" s="206">
        <v>200</v>
      </c>
      <c r="I60" s="207">
        <v>24.16</v>
      </c>
      <c r="J60" s="352" t="s">
        <v>541</v>
      </c>
      <c r="K60" s="237"/>
    </row>
    <row r="61" spans="1:11" ht="18.75" x14ac:dyDescent="0.3">
      <c r="A61" s="209">
        <f>IFERROR(VLOOKUP(F61,[1]Реестр!A:K,3,0)*H61/G61,"")</f>
        <v>2.64</v>
      </c>
      <c r="B61" s="209">
        <f>IFERROR(VLOOKUP(F61,[1]Реестр!A:K,4,0)*H61/G61,"")</f>
        <v>0.48</v>
      </c>
      <c r="C61" s="209">
        <f>IFERROR(VLOOKUP(F61,[1]Реестр!A:K,5,0)*H61/G61,"")</f>
        <v>13.36</v>
      </c>
      <c r="D61" s="209">
        <f>IFERROR(VLOOKUP(F61,[1]Реестр!A:K,6,0)*H61/G61,"")</f>
        <v>77.2</v>
      </c>
      <c r="E61" s="210" t="str">
        <f>IFERROR(VLOOKUP(F61,[1]Реестр!A:K,11,0),"")</f>
        <v>-</v>
      </c>
      <c r="F61" s="217" t="s">
        <v>65</v>
      </c>
      <c r="G61" s="211" t="str">
        <f>IFERROR(VLOOKUP(F61,[1]Реестр!A:K,2,0),"")</f>
        <v>100</v>
      </c>
      <c r="H61" s="206">
        <v>40</v>
      </c>
      <c r="I61" s="207">
        <v>3.6</v>
      </c>
      <c r="J61" s="352" t="s">
        <v>475</v>
      </c>
      <c r="K61" s="237"/>
    </row>
    <row r="62" spans="1:11" ht="18.75" x14ac:dyDescent="0.3">
      <c r="A62" s="465" t="s">
        <v>25</v>
      </c>
      <c r="B62" s="466"/>
      <c r="C62" s="466"/>
      <c r="D62" s="466"/>
      <c r="E62" s="466"/>
      <c r="F62" s="466"/>
      <c r="G62" s="466"/>
      <c r="H62" s="466"/>
      <c r="I62" s="467"/>
      <c r="J62" s="201" t="str">
        <f>IFERROR(VLOOKUP(O62,Реестр!#REF!,3,0)*Q62/P62,"")</f>
        <v/>
      </c>
      <c r="K62" s="237"/>
    </row>
    <row r="63" spans="1:11" s="234" customFormat="1" ht="18.75" x14ac:dyDescent="0.25">
      <c r="A63" s="368">
        <v>1.29</v>
      </c>
      <c r="B63" s="368">
        <v>5.97</v>
      </c>
      <c r="C63" s="368">
        <v>7.97</v>
      </c>
      <c r="D63" s="368">
        <v>86.23</v>
      </c>
      <c r="E63" s="357" t="str">
        <f>"7/80"</f>
        <v>7/80</v>
      </c>
      <c r="F63" s="228" t="s">
        <v>680</v>
      </c>
      <c r="G63" s="211" t="str">
        <f>IFERROR(VLOOKUP(F63,[2]Реестр!A:K,2,0),"")</f>
        <v/>
      </c>
      <c r="H63" s="210">
        <v>100</v>
      </c>
      <c r="I63" s="230">
        <v>27.91</v>
      </c>
      <c r="J63" s="239" t="s">
        <v>538</v>
      </c>
      <c r="K63" s="240"/>
    </row>
    <row r="64" spans="1:11" ht="18.75" x14ac:dyDescent="0.3">
      <c r="A64" s="263">
        <v>12.44</v>
      </c>
      <c r="B64" s="263">
        <v>7.77</v>
      </c>
      <c r="C64" s="263">
        <v>25.16</v>
      </c>
      <c r="D64" s="263">
        <v>208</v>
      </c>
      <c r="E64" s="267" t="str">
        <f>"6/70"</f>
        <v>6/70</v>
      </c>
      <c r="F64" s="267" t="s">
        <v>220</v>
      </c>
      <c r="G64" s="211" t="str">
        <f>IFERROR(VLOOKUP(F64,[2]Реестр!A:K,2,0),"")</f>
        <v>300</v>
      </c>
      <c r="H64" s="206">
        <v>250</v>
      </c>
      <c r="I64" s="207">
        <v>42</v>
      </c>
      <c r="J64" s="352" t="s">
        <v>478</v>
      </c>
      <c r="K64" s="237"/>
    </row>
    <row r="65" spans="1:12" ht="18.75" x14ac:dyDescent="0.3">
      <c r="A65" s="348">
        <v>19.440000000000001</v>
      </c>
      <c r="B65" s="348">
        <v>21.37</v>
      </c>
      <c r="C65" s="348">
        <v>55.36</v>
      </c>
      <c r="D65" s="348">
        <v>508.5</v>
      </c>
      <c r="E65" s="349" t="str">
        <f>"8/35"</f>
        <v>8/35</v>
      </c>
      <c r="F65" s="349" t="s">
        <v>549</v>
      </c>
      <c r="G65" s="211" t="str">
        <f>IFERROR(VLOOKUP(F65,[2]Реестр!A:K,2,0),"")</f>
        <v/>
      </c>
      <c r="H65" s="206">
        <v>250</v>
      </c>
      <c r="I65" s="206">
        <v>109.55</v>
      </c>
      <c r="J65" s="352" t="s">
        <v>537</v>
      </c>
      <c r="K65" s="237"/>
    </row>
    <row r="66" spans="1:12" ht="18.75" x14ac:dyDescent="0.3">
      <c r="A66" s="263">
        <v>0.14000000000000001</v>
      </c>
      <c r="B66" s="263">
        <v>0.1</v>
      </c>
      <c r="C66" s="263">
        <v>1.5</v>
      </c>
      <c r="D66" s="263">
        <v>83.962620000000015</v>
      </c>
      <c r="E66" s="349" t="str">
        <f>"11/1"</f>
        <v>11/1</v>
      </c>
      <c r="F66" s="349" t="s">
        <v>317</v>
      </c>
      <c r="G66" s="211">
        <f>IFERROR(VLOOKUP(F66,[2]Реестр!A:K,2,0),"")</f>
        <v>200</v>
      </c>
      <c r="H66" s="206">
        <v>200</v>
      </c>
      <c r="I66" s="207">
        <v>4.38</v>
      </c>
      <c r="J66" s="352" t="s">
        <v>29</v>
      </c>
      <c r="K66" s="237"/>
    </row>
    <row r="67" spans="1:12" ht="18.75" x14ac:dyDescent="0.3">
      <c r="A67" s="209">
        <v>3.3</v>
      </c>
      <c r="B67" s="209">
        <v>0.3</v>
      </c>
      <c r="C67" s="209">
        <v>23.4</v>
      </c>
      <c r="D67" s="209">
        <v>112</v>
      </c>
      <c r="E67" s="210" t="s">
        <v>471</v>
      </c>
      <c r="F67" s="217" t="s">
        <v>66</v>
      </c>
      <c r="G67" s="211" t="str">
        <f>IFERROR(VLOOKUP(F67,[2]Реестр!A:K,2,0),"")</f>
        <v>100</v>
      </c>
      <c r="H67" s="206">
        <v>50</v>
      </c>
      <c r="I67" s="207">
        <v>4.5</v>
      </c>
      <c r="J67" s="352" t="s">
        <v>479</v>
      </c>
      <c r="K67" s="208"/>
    </row>
    <row r="68" spans="1:12" ht="18.75" x14ac:dyDescent="0.3">
      <c r="A68" s="209">
        <v>3.3</v>
      </c>
      <c r="B68" s="209">
        <v>0.6</v>
      </c>
      <c r="C68" s="209">
        <v>16.7</v>
      </c>
      <c r="D68" s="209">
        <v>96.5</v>
      </c>
      <c r="E68" s="210" t="s">
        <v>471</v>
      </c>
      <c r="F68" s="217" t="s">
        <v>65</v>
      </c>
      <c r="G68" s="211" t="str">
        <f>IFERROR(VLOOKUP(F68,[2]Реестр!A:K,2,0),"")</f>
        <v>100</v>
      </c>
      <c r="H68" s="206">
        <v>50</v>
      </c>
      <c r="I68" s="207">
        <v>4.5</v>
      </c>
      <c r="J68" s="352" t="s">
        <v>23</v>
      </c>
    </row>
    <row r="69" spans="1:12" ht="18.75" x14ac:dyDescent="0.3">
      <c r="A69" s="209"/>
      <c r="B69" s="209"/>
      <c r="C69" s="209"/>
      <c r="D69" s="209"/>
      <c r="E69" s="218"/>
      <c r="F69" s="217"/>
      <c r="G69" s="211"/>
      <c r="H69" s="206"/>
      <c r="I69" s="207"/>
      <c r="J69" s="352" t="s">
        <v>540</v>
      </c>
    </row>
    <row r="70" spans="1:12" ht="18" customHeight="1" x14ac:dyDescent="0.3">
      <c r="A70" s="464" t="s">
        <v>16</v>
      </c>
      <c r="B70" s="464"/>
      <c r="C70" s="464"/>
      <c r="D70" s="464"/>
      <c r="E70" s="464"/>
      <c r="F70" s="464"/>
      <c r="G70" s="206"/>
      <c r="H70" s="206"/>
      <c r="I70" s="207">
        <f>SUM(I57:I61)+SUM(I63:I69)</f>
        <v>321.39999999999998</v>
      </c>
      <c r="J70" s="201">
        <v>321.39999999999998</v>
      </c>
      <c r="K70" s="208">
        <f>J70-I70</f>
        <v>0</v>
      </c>
    </row>
    <row r="71" spans="1:12" ht="18.75" x14ac:dyDescent="0.3">
      <c r="A71" s="465" t="s">
        <v>34</v>
      </c>
      <c r="B71" s="466"/>
      <c r="C71" s="466"/>
      <c r="D71" s="466"/>
      <c r="E71" s="466"/>
      <c r="F71" s="466"/>
      <c r="G71" s="466"/>
      <c r="H71" s="466"/>
      <c r="I71" s="467"/>
      <c r="J71" s="206"/>
      <c r="K71" s="208"/>
    </row>
    <row r="72" spans="1:12" ht="18.75" x14ac:dyDescent="0.25">
      <c r="A72" s="369">
        <v>0.24</v>
      </c>
      <c r="B72" s="369">
        <v>0.03</v>
      </c>
      <c r="C72" s="369">
        <v>0.74</v>
      </c>
      <c r="D72" s="369">
        <v>4.2</v>
      </c>
      <c r="E72" s="370" t="str">
        <f>"7/10"</f>
        <v>7/10</v>
      </c>
      <c r="F72" s="265" t="s">
        <v>679</v>
      </c>
      <c r="G72" s="211" t="str">
        <f>IFERROR(VLOOKUP(F72,[1]Реестр!A:K,2,0),"")</f>
        <v/>
      </c>
      <c r="H72" s="210">
        <v>30</v>
      </c>
      <c r="I72" s="230">
        <v>7.43</v>
      </c>
    </row>
    <row r="73" spans="1:12" ht="18.75" x14ac:dyDescent="0.3">
      <c r="A73" s="348">
        <v>19.440000000000001</v>
      </c>
      <c r="B73" s="348">
        <v>21.37</v>
      </c>
      <c r="C73" s="348">
        <v>55.36</v>
      </c>
      <c r="D73" s="348">
        <v>508.5</v>
      </c>
      <c r="E73" s="349" t="str">
        <f>"8/35"</f>
        <v>8/35</v>
      </c>
      <c r="F73" s="349" t="s">
        <v>549</v>
      </c>
      <c r="G73" s="211" t="str">
        <f>IFERROR(VLOOKUP(F73,[2]Реестр!A:K,2,0),"")</f>
        <v/>
      </c>
      <c r="H73" s="206">
        <v>250</v>
      </c>
      <c r="I73" s="206">
        <v>109.55</v>
      </c>
    </row>
    <row r="74" spans="1:12" ht="18.75" x14ac:dyDescent="0.3">
      <c r="A74" s="263">
        <v>0.14000000000000001</v>
      </c>
      <c r="B74" s="263">
        <v>0.1</v>
      </c>
      <c r="C74" s="263">
        <v>1.5</v>
      </c>
      <c r="D74" s="263">
        <v>83.962620000000015</v>
      </c>
      <c r="E74" s="349" t="str">
        <f>"11/1"</f>
        <v>11/1</v>
      </c>
      <c r="F74" s="349" t="s">
        <v>317</v>
      </c>
      <c r="G74" s="211">
        <f>IFERROR(VLOOKUP(F74,[2]Реестр!A:K,2,0),"")</f>
        <v>200</v>
      </c>
      <c r="H74" s="206">
        <v>200</v>
      </c>
      <c r="I74" s="207">
        <v>4.38</v>
      </c>
    </row>
    <row r="75" spans="1:12" ht="18.75" x14ac:dyDescent="0.3">
      <c r="A75" s="209">
        <v>2.64</v>
      </c>
      <c r="B75" s="209">
        <v>0.24</v>
      </c>
      <c r="C75" s="209">
        <v>18.72</v>
      </c>
      <c r="D75" s="209">
        <v>89.6</v>
      </c>
      <c r="E75" s="210" t="s">
        <v>471</v>
      </c>
      <c r="F75" s="217" t="s">
        <v>66</v>
      </c>
      <c r="G75" s="211" t="str">
        <f>IFERROR(VLOOKUP(F75,[2]Реестр!A:K,2,0),"")</f>
        <v>100</v>
      </c>
      <c r="H75" s="206">
        <v>40</v>
      </c>
      <c r="I75" s="207">
        <v>3.6</v>
      </c>
    </row>
    <row r="76" spans="1:12" ht="18.75" x14ac:dyDescent="0.3">
      <c r="A76" s="209">
        <v>2.64</v>
      </c>
      <c r="B76" s="209">
        <v>0.48</v>
      </c>
      <c r="C76" s="209">
        <v>13.36</v>
      </c>
      <c r="D76" s="209">
        <v>77.2</v>
      </c>
      <c r="E76" s="210" t="s">
        <v>471</v>
      </c>
      <c r="F76" s="217" t="s">
        <v>65</v>
      </c>
      <c r="G76" s="211" t="str">
        <f>IFERROR(VLOOKUP(F76,[2]Реестр!A:K,2,0),"")</f>
        <v>100</v>
      </c>
      <c r="H76" s="206">
        <v>40</v>
      </c>
      <c r="I76" s="207">
        <v>3.6</v>
      </c>
    </row>
    <row r="77" spans="1:12" ht="18.75" x14ac:dyDescent="0.3">
      <c r="A77" s="209"/>
      <c r="B77" s="209"/>
      <c r="C77" s="209"/>
      <c r="D77" s="209"/>
      <c r="E77" s="210"/>
      <c r="F77" s="217"/>
      <c r="G77" s="211"/>
      <c r="H77" s="206"/>
      <c r="I77" s="207"/>
    </row>
    <row r="78" spans="1:12" ht="18.75" x14ac:dyDescent="0.3">
      <c r="A78" s="453" t="s">
        <v>16</v>
      </c>
      <c r="B78" s="454"/>
      <c r="C78" s="454"/>
      <c r="D78" s="454"/>
      <c r="E78" s="454"/>
      <c r="F78" s="455"/>
      <c r="G78" s="205"/>
      <c r="H78" s="206"/>
      <c r="I78" s="207">
        <f>SUM(I72:I77)</f>
        <v>128.55999999999997</v>
      </c>
      <c r="J78" s="215">
        <v>128.56</v>
      </c>
      <c r="L78" s="208">
        <f>J78-I78</f>
        <v>0</v>
      </c>
    </row>
    <row r="79" spans="1:12" ht="18.75" x14ac:dyDescent="0.25">
      <c r="A79" s="477" t="s">
        <v>35</v>
      </c>
      <c r="B79" s="478"/>
      <c r="C79" s="478"/>
      <c r="D79" s="478"/>
      <c r="E79" s="478"/>
      <c r="F79" s="478"/>
      <c r="G79" s="478"/>
      <c r="H79" s="478"/>
      <c r="I79" s="479"/>
    </row>
    <row r="80" spans="1:12" ht="18.75" x14ac:dyDescent="0.3">
      <c r="A80" s="219">
        <v>7.7</v>
      </c>
      <c r="B80" s="219">
        <v>7.42</v>
      </c>
      <c r="C80" s="219">
        <v>32.090000000000003</v>
      </c>
      <c r="D80" s="219">
        <v>225.88</v>
      </c>
      <c r="E80" s="261" t="s">
        <v>408</v>
      </c>
      <c r="F80" s="356" t="s">
        <v>605</v>
      </c>
      <c r="G80" s="211" t="str">
        <f>IFERROR(VLOOKUP(F80,[2]Реестр!A:K,2,0),"")</f>
        <v/>
      </c>
      <c r="H80" s="206">
        <v>100</v>
      </c>
      <c r="I80" s="207">
        <v>42</v>
      </c>
      <c r="K80" s="208"/>
    </row>
    <row r="81" spans="1:12" ht="18.75" x14ac:dyDescent="0.3">
      <c r="A81" s="453" t="s">
        <v>16</v>
      </c>
      <c r="B81" s="454"/>
      <c r="C81" s="454"/>
      <c r="D81" s="454"/>
      <c r="E81" s="454"/>
      <c r="F81" s="455"/>
      <c r="G81" s="205"/>
      <c r="H81" s="206"/>
      <c r="I81" s="207">
        <f>I80</f>
        <v>42</v>
      </c>
      <c r="J81" s="215">
        <v>42</v>
      </c>
    </row>
    <row r="82" spans="1:12" ht="18.75" x14ac:dyDescent="0.3">
      <c r="A82" s="465" t="s">
        <v>36</v>
      </c>
      <c r="B82" s="466"/>
      <c r="C82" s="466"/>
      <c r="D82" s="466"/>
      <c r="E82" s="466"/>
      <c r="F82" s="466"/>
      <c r="G82" s="466"/>
      <c r="H82" s="466"/>
      <c r="I82" s="467"/>
    </row>
    <row r="83" spans="1:12" ht="18.75" x14ac:dyDescent="0.3">
      <c r="A83" s="263">
        <v>5.55</v>
      </c>
      <c r="B83" s="263">
        <v>7.8</v>
      </c>
      <c r="C83" s="263">
        <v>15.95</v>
      </c>
      <c r="D83" s="263">
        <v>199.78905478333331</v>
      </c>
      <c r="E83" s="350" t="str">
        <f>"6/70"</f>
        <v>6/70</v>
      </c>
      <c r="F83" s="350" t="s">
        <v>220</v>
      </c>
      <c r="G83" s="211" t="str">
        <f>IFERROR(VLOOKUP(F83,[2]Реестр!A:K,2,0),"")</f>
        <v>300</v>
      </c>
      <c r="H83" s="206">
        <v>250</v>
      </c>
      <c r="I83" s="207">
        <v>42</v>
      </c>
    </row>
    <row r="84" spans="1:12" ht="18.75" x14ac:dyDescent="0.3">
      <c r="A84" s="453" t="s">
        <v>16</v>
      </c>
      <c r="B84" s="454"/>
      <c r="C84" s="454"/>
      <c r="D84" s="454"/>
      <c r="E84" s="454"/>
      <c r="F84" s="455"/>
      <c r="G84" s="205"/>
      <c r="H84" s="206"/>
      <c r="I84" s="207">
        <f>SUM(I83:I83)</f>
        <v>42</v>
      </c>
      <c r="J84" s="215">
        <v>27</v>
      </c>
    </row>
    <row r="85" spans="1:12" ht="18.75" x14ac:dyDescent="0.3">
      <c r="A85" s="465" t="s">
        <v>503</v>
      </c>
      <c r="B85" s="466"/>
      <c r="C85" s="466"/>
      <c r="D85" s="466"/>
      <c r="E85" s="466"/>
      <c r="F85" s="466"/>
      <c r="G85" s="466"/>
      <c r="H85" s="466"/>
      <c r="I85" s="467"/>
    </row>
    <row r="86" spans="1:12" s="234" customFormat="1" ht="27" customHeight="1" x14ac:dyDescent="0.25">
      <c r="A86" s="368">
        <v>1.29</v>
      </c>
      <c r="B86" s="368">
        <v>5.97</v>
      </c>
      <c r="C86" s="368">
        <v>7.97</v>
      </c>
      <c r="D86" s="368">
        <v>86.23</v>
      </c>
      <c r="E86" s="357" t="str">
        <f>"7/80"</f>
        <v>7/80</v>
      </c>
      <c r="F86" s="228" t="s">
        <v>680</v>
      </c>
      <c r="G86" s="211" t="str">
        <f>IFERROR(VLOOKUP(F86,[2]Реестр!A:K,2,0),"")</f>
        <v/>
      </c>
      <c r="H86" s="210">
        <v>100</v>
      </c>
      <c r="I86" s="230">
        <v>27.91</v>
      </c>
      <c r="J86" s="268"/>
    </row>
    <row r="87" spans="1:12" ht="18.75" x14ac:dyDescent="0.3">
      <c r="A87" s="263">
        <v>12.44</v>
      </c>
      <c r="B87" s="263">
        <v>7.77</v>
      </c>
      <c r="C87" s="263">
        <v>25.16</v>
      </c>
      <c r="D87" s="263">
        <v>208</v>
      </c>
      <c r="E87" s="267" t="str">
        <f>"6/70"</f>
        <v>6/70</v>
      </c>
      <c r="F87" s="267" t="s">
        <v>220</v>
      </c>
      <c r="G87" s="211" t="str">
        <f>IFERROR(VLOOKUP(F87,[2]Реестр!A:K,2,0),"")</f>
        <v>300</v>
      </c>
      <c r="H87" s="206">
        <v>250</v>
      </c>
      <c r="I87" s="207">
        <v>42</v>
      </c>
    </row>
    <row r="88" spans="1:12" ht="18.75" x14ac:dyDescent="0.3">
      <c r="A88" s="348">
        <v>19.440000000000001</v>
      </c>
      <c r="B88" s="348">
        <v>21.37</v>
      </c>
      <c r="C88" s="348">
        <v>55.36</v>
      </c>
      <c r="D88" s="348">
        <v>508.5</v>
      </c>
      <c r="E88" s="349" t="str">
        <f>"8/35"</f>
        <v>8/35</v>
      </c>
      <c r="F88" s="349" t="s">
        <v>549</v>
      </c>
      <c r="G88" s="211" t="str">
        <f>IFERROR(VLOOKUP(F88,[2]Реестр!A:K,2,0),"")</f>
        <v/>
      </c>
      <c r="H88" s="206">
        <v>250</v>
      </c>
      <c r="I88" s="206">
        <v>109.55</v>
      </c>
    </row>
    <row r="89" spans="1:12" ht="18.75" x14ac:dyDescent="0.3">
      <c r="A89" s="263">
        <v>0.14000000000000001</v>
      </c>
      <c r="B89" s="263">
        <v>0.1</v>
      </c>
      <c r="C89" s="263">
        <v>1.5</v>
      </c>
      <c r="D89" s="263">
        <v>83.962620000000015</v>
      </c>
      <c r="E89" s="349" t="str">
        <f>"11/1"</f>
        <v>11/1</v>
      </c>
      <c r="F89" s="349" t="s">
        <v>317</v>
      </c>
      <c r="G89" s="211">
        <f>IFERROR(VLOOKUP(F89,[2]Реестр!A:K,2,0),"")</f>
        <v>200</v>
      </c>
      <c r="H89" s="206">
        <v>200</v>
      </c>
      <c r="I89" s="207">
        <v>4.38</v>
      </c>
    </row>
    <row r="90" spans="1:12" ht="18.75" x14ac:dyDescent="0.3">
      <c r="A90" s="209">
        <v>3.3</v>
      </c>
      <c r="B90" s="209">
        <v>0.3</v>
      </c>
      <c r="C90" s="209">
        <v>23.4</v>
      </c>
      <c r="D90" s="209">
        <v>112</v>
      </c>
      <c r="E90" s="210" t="s">
        <v>471</v>
      </c>
      <c r="F90" s="217" t="s">
        <v>66</v>
      </c>
      <c r="G90" s="211" t="str">
        <f>IFERROR(VLOOKUP(F90,[2]Реестр!A:K,2,0),"")</f>
        <v>100</v>
      </c>
      <c r="H90" s="206">
        <v>50</v>
      </c>
      <c r="I90" s="207">
        <v>4.5</v>
      </c>
    </row>
    <row r="91" spans="1:12" ht="18.75" x14ac:dyDescent="0.3">
      <c r="A91" s="209">
        <v>3.3</v>
      </c>
      <c r="B91" s="209">
        <v>0.6</v>
      </c>
      <c r="C91" s="209">
        <v>16.7</v>
      </c>
      <c r="D91" s="209">
        <v>96.5</v>
      </c>
      <c r="E91" s="210" t="s">
        <v>471</v>
      </c>
      <c r="F91" s="217" t="s">
        <v>65</v>
      </c>
      <c r="G91" s="211" t="str">
        <f>IFERROR(VLOOKUP(F91,[2]Реестр!A:K,2,0),"")</f>
        <v>100</v>
      </c>
      <c r="H91" s="206">
        <v>50</v>
      </c>
      <c r="I91" s="207">
        <v>4.5</v>
      </c>
    </row>
    <row r="92" spans="1:12" ht="18.75" x14ac:dyDescent="0.3">
      <c r="A92" s="209"/>
      <c r="B92" s="209"/>
      <c r="C92" s="209"/>
      <c r="D92" s="209"/>
      <c r="E92" s="218"/>
      <c r="F92" s="217"/>
      <c r="G92" s="211"/>
      <c r="H92" s="206"/>
      <c r="I92" s="207"/>
      <c r="K92" s="208"/>
    </row>
    <row r="93" spans="1:12" ht="18.75" x14ac:dyDescent="0.3">
      <c r="A93" s="464" t="s">
        <v>16</v>
      </c>
      <c r="B93" s="464"/>
      <c r="C93" s="464"/>
      <c r="D93" s="464"/>
      <c r="E93" s="464"/>
      <c r="F93" s="464"/>
      <c r="G93" s="205"/>
      <c r="H93" s="206"/>
      <c r="I93" s="207">
        <f>SUM(I86:I92)</f>
        <v>192.83999999999997</v>
      </c>
      <c r="J93" s="215">
        <v>192.84</v>
      </c>
      <c r="L93" s="208">
        <f>J93-I93</f>
        <v>0</v>
      </c>
    </row>
    <row r="94" spans="1:12" ht="18.75" hidden="1" x14ac:dyDescent="0.3">
      <c r="A94" s="462" t="s">
        <v>544</v>
      </c>
      <c r="B94" s="462"/>
      <c r="C94" s="462"/>
      <c r="D94" s="462"/>
      <c r="E94" s="462"/>
      <c r="F94" s="462"/>
      <c r="G94" s="462"/>
      <c r="H94" s="462"/>
      <c r="I94" s="462"/>
      <c r="K94" s="208"/>
    </row>
    <row r="95" spans="1:12" ht="18.75" hidden="1" x14ac:dyDescent="0.25">
      <c r="A95" s="209">
        <f>IFERROR(VLOOKUP(F95,[1]Реестр!A:K,3,0)*H95/G95,"")</f>
        <v>5.08</v>
      </c>
      <c r="B95" s="209">
        <f>IFERROR(VLOOKUP(F95,[1]Реестр!A:K,4,0)*H95/G95,"")</f>
        <v>11.55</v>
      </c>
      <c r="C95" s="209">
        <f>IFERROR(VLOOKUP(F95,[1]Реестр!A:K,5,0)*H95/G95,"")</f>
        <v>9.9700000000000006</v>
      </c>
      <c r="D95" s="209">
        <f>IFERROR(VLOOKUP(F95,[1]Реестр!A:K,6,0)*H95/G95,"")</f>
        <v>164.15</v>
      </c>
      <c r="E95" s="210" t="str">
        <f>IFERROR(VLOOKUP(F95,[1]Реестр!A:K,11,0),"")</f>
        <v>1*51</v>
      </c>
      <c r="F95" s="356" t="s">
        <v>91</v>
      </c>
      <c r="G95" s="211" t="str">
        <f>IFERROR(VLOOKUP(F95,[1]Реестр!A:K,2,0),"")</f>
        <v>45</v>
      </c>
      <c r="H95" s="143">
        <v>45</v>
      </c>
      <c r="I95" s="450">
        <v>108.64</v>
      </c>
      <c r="K95" s="208"/>
    </row>
    <row r="96" spans="1:12" ht="33.75" hidden="1" customHeight="1" x14ac:dyDescent="0.25">
      <c r="A96" s="209">
        <f>IFERROR(VLOOKUP(F96,[1]Реестр!A:K,3,0)*H96/G96,"")</f>
        <v>6.3749999999999991</v>
      </c>
      <c r="B96" s="209">
        <f>IFERROR(VLOOKUP(F96,[1]Реестр!A:K,4,0)*H96/G96,"")</f>
        <v>5.7499999999999991</v>
      </c>
      <c r="C96" s="209">
        <f>IFERROR(VLOOKUP(F96,[1]Реестр!A:K,5,0)*H96/G96,"")</f>
        <v>0.375</v>
      </c>
      <c r="D96" s="209">
        <f>IFERROR(VLOOKUP(F96,[1]Реестр!A:K,6,0)*H96/G96,"")</f>
        <v>78.75</v>
      </c>
      <c r="E96" s="210" t="str">
        <f>IFERROR(VLOOKUP(F96,[1]Реестр!A:K,11,0),"")</f>
        <v>4*57</v>
      </c>
      <c r="F96" s="356" t="s">
        <v>162</v>
      </c>
      <c r="G96" s="211" t="str">
        <f>IFERROR(VLOOKUP(F96,[1]Реестр!A:K,2,0),"")</f>
        <v>40</v>
      </c>
      <c r="H96" s="143">
        <v>50</v>
      </c>
      <c r="I96" s="451"/>
      <c r="K96" s="208"/>
    </row>
    <row r="97" spans="1:12" ht="18.75" hidden="1" x14ac:dyDescent="0.25">
      <c r="A97" s="243">
        <v>6.26</v>
      </c>
      <c r="B97" s="243">
        <v>5.9</v>
      </c>
      <c r="C97" s="243">
        <v>28.4</v>
      </c>
      <c r="D97" s="243">
        <v>194.19400152</v>
      </c>
      <c r="E97" s="228" t="str">
        <f>"2/68"</f>
        <v>2/68</v>
      </c>
      <c r="F97" s="228" t="s">
        <v>666</v>
      </c>
      <c r="G97" s="211" t="str">
        <f>IFERROR(VLOOKUP(F97,[1]Реестр!A:K,2,0),"")</f>
        <v/>
      </c>
      <c r="H97" s="143">
        <v>200</v>
      </c>
      <c r="I97" s="451"/>
      <c r="K97" s="208"/>
    </row>
    <row r="98" spans="1:12" ht="30" hidden="1" x14ac:dyDescent="0.25">
      <c r="A98" s="243">
        <v>2.74</v>
      </c>
      <c r="B98" s="243">
        <v>2.2000000000000002</v>
      </c>
      <c r="C98" s="243">
        <v>4.8899999999999997</v>
      </c>
      <c r="D98" s="243">
        <v>49.717531084999983</v>
      </c>
      <c r="E98" s="228" t="str">
        <f>"11/59 (2004 № 692)"</f>
        <v>11/59 (2004 № 692)</v>
      </c>
      <c r="F98" s="228" t="s">
        <v>667</v>
      </c>
      <c r="G98" s="211">
        <f>IFERROR(VLOOKUP(F98,[1]Реестр!A:K,2,0),"")</f>
        <v>200</v>
      </c>
      <c r="H98" s="143" t="str">
        <f>"200"</f>
        <v>200</v>
      </c>
      <c r="I98" s="451"/>
      <c r="K98" s="208"/>
    </row>
    <row r="99" spans="1:12" ht="18.75" hidden="1" x14ac:dyDescent="0.25">
      <c r="A99" s="209">
        <f>IFERROR(VLOOKUP(F99,[1]Реестр!A:K,3,0)*H99/G99,"")</f>
        <v>1.32</v>
      </c>
      <c r="B99" s="209">
        <f>IFERROR(VLOOKUP(F99,[1]Реестр!A:K,4,0)*H99/G99,"")</f>
        <v>0.24</v>
      </c>
      <c r="C99" s="209">
        <f>IFERROR(VLOOKUP(F99,[1]Реестр!A:K,5,0)*H99/G99,"")</f>
        <v>6.68</v>
      </c>
      <c r="D99" s="209">
        <f>IFERROR(VLOOKUP(F99,[1]Реестр!A:K,6,0)*H99/G99,"")</f>
        <v>38.6</v>
      </c>
      <c r="E99" s="210" t="str">
        <f>IFERROR(VLOOKUP(F99,[1]Реестр!A:K,11,0),"")</f>
        <v>-</v>
      </c>
      <c r="F99" s="217" t="s">
        <v>65</v>
      </c>
      <c r="G99" s="211" t="str">
        <f>IFERROR(VLOOKUP(F99,[1]Реестр!A:K,2,0),"")</f>
        <v>100</v>
      </c>
      <c r="H99" s="229" t="str">
        <f>"20"</f>
        <v>20</v>
      </c>
      <c r="I99" s="452"/>
      <c r="K99" s="208"/>
    </row>
    <row r="100" spans="1:12" ht="18.75" hidden="1" x14ac:dyDescent="0.3">
      <c r="A100" s="464" t="s">
        <v>16</v>
      </c>
      <c r="B100" s="464"/>
      <c r="C100" s="464"/>
      <c r="D100" s="464"/>
      <c r="E100" s="464"/>
      <c r="F100" s="464"/>
      <c r="G100" s="205"/>
      <c r="H100" s="206"/>
      <c r="I100" s="207">
        <f>SUM(I95:I99)</f>
        <v>108.64</v>
      </c>
      <c r="K100" s="208"/>
    </row>
    <row r="101" spans="1:12" ht="18.75" hidden="1" x14ac:dyDescent="0.3">
      <c r="A101" s="462" t="s">
        <v>545</v>
      </c>
      <c r="B101" s="462"/>
      <c r="C101" s="462"/>
      <c r="D101" s="462"/>
      <c r="E101" s="462"/>
      <c r="F101" s="462"/>
      <c r="G101" s="462"/>
      <c r="H101" s="462"/>
      <c r="I101" s="462"/>
      <c r="J101" s="215">
        <v>85.2</v>
      </c>
      <c r="K101" s="208"/>
      <c r="L101" s="208">
        <f>J101-I101</f>
        <v>85.2</v>
      </c>
    </row>
    <row r="102" spans="1:12" ht="18.75" hidden="1" x14ac:dyDescent="0.25">
      <c r="A102" s="209">
        <f>IFERROR(VLOOKUP(F102,[1]Реестр!A:K,3,0)*H102/G102,"")</f>
        <v>6.3749999999999991</v>
      </c>
      <c r="B102" s="209">
        <f>IFERROR(VLOOKUP(F102,[1]Реестр!A:K,4,0)*H102/G102,"")</f>
        <v>5.7499999999999991</v>
      </c>
      <c r="C102" s="209">
        <f>IFERROR(VLOOKUP(F102,[1]Реестр!A:K,5,0)*H102/G102,"")</f>
        <v>0.375</v>
      </c>
      <c r="D102" s="209">
        <f>IFERROR(VLOOKUP(F102,[1]Реестр!A:K,6,0)*H102/G102,"")</f>
        <v>78.75</v>
      </c>
      <c r="E102" s="210" t="str">
        <f>IFERROR(VLOOKUP(F102,[1]Реестр!A:K,11,0),"")</f>
        <v>4*57</v>
      </c>
      <c r="F102" s="356" t="s">
        <v>162</v>
      </c>
      <c r="G102" s="211" t="str">
        <f>IFERROR(VLOOKUP(F102,[1]Реестр!A:K,2,0),"")</f>
        <v>40</v>
      </c>
      <c r="H102" s="143">
        <v>50</v>
      </c>
      <c r="I102" s="450">
        <v>108.64</v>
      </c>
      <c r="K102" s="208"/>
    </row>
    <row r="103" spans="1:12" ht="18.75" hidden="1" customHeight="1" x14ac:dyDescent="0.25">
      <c r="A103" s="243">
        <v>6.03</v>
      </c>
      <c r="B103" s="243">
        <v>12.83</v>
      </c>
      <c r="C103" s="243">
        <v>34.92</v>
      </c>
      <c r="D103" s="243">
        <v>275.69060599999995</v>
      </c>
      <c r="E103" s="228" t="str">
        <f>"2/78"</f>
        <v>2/78</v>
      </c>
      <c r="F103" s="228" t="s">
        <v>668</v>
      </c>
      <c r="G103" s="211" t="str">
        <f>IFERROR(VLOOKUP(F103,[1]Реестр!A:K,2,0),"")</f>
        <v/>
      </c>
      <c r="H103" s="143">
        <v>200</v>
      </c>
      <c r="I103" s="451"/>
      <c r="K103" s="208"/>
    </row>
    <row r="104" spans="1:12" ht="18.75" hidden="1" x14ac:dyDescent="0.25">
      <c r="A104" s="209">
        <f>IFERROR(VLOOKUP(F104,[1]Реестр!A:K,3,0)*H104/G104,"")</f>
        <v>0.17499999999999999</v>
      </c>
      <c r="B104" s="209">
        <f>IFERROR(VLOOKUP(F104,[1]Реестр!A:K,4,0)*H104/G104,"")</f>
        <v>0.105</v>
      </c>
      <c r="C104" s="209">
        <f>IFERROR(VLOOKUP(F104,[1]Реестр!A:K,5,0)*H104/G104,"")</f>
        <v>10.01</v>
      </c>
      <c r="D104" s="209">
        <f>IFERROR(VLOOKUP(F104,[1]Реестр!A:K,6,0)*H104/G104,"")</f>
        <v>40.6</v>
      </c>
      <c r="E104" s="210" t="str">
        <f>IFERROR(VLOOKUP(F104,[1]Реестр!A:K,11,0),"")</f>
        <v>12*2</v>
      </c>
      <c r="F104" s="356" t="s">
        <v>371</v>
      </c>
      <c r="G104" s="211" t="str">
        <f>IFERROR(VLOOKUP(F104,[1]Реестр!A:K,2,0),"")</f>
        <v>100</v>
      </c>
      <c r="H104" s="143">
        <v>35</v>
      </c>
      <c r="I104" s="451"/>
      <c r="K104" s="208"/>
    </row>
    <row r="105" spans="1:12" ht="18.75" hidden="1" x14ac:dyDescent="0.25">
      <c r="A105" s="243">
        <v>0.18</v>
      </c>
      <c r="B105" s="243">
        <v>0.04</v>
      </c>
      <c r="C105" s="243">
        <v>13.75</v>
      </c>
      <c r="D105" s="243">
        <v>53.136642799999997</v>
      </c>
      <c r="E105" s="210" t="s">
        <v>353</v>
      </c>
      <c r="F105" s="228" t="s">
        <v>563</v>
      </c>
      <c r="G105" s="211" t="str">
        <f>IFERROR(VLOOKUP(F105,[1]Реестр!A:K,2,0),"")</f>
        <v/>
      </c>
      <c r="H105" s="143" t="str">
        <f>"200"</f>
        <v>200</v>
      </c>
      <c r="I105" s="451"/>
      <c r="K105" s="208"/>
    </row>
    <row r="106" spans="1:12" ht="18.75" hidden="1" x14ac:dyDescent="0.25">
      <c r="A106" s="209">
        <f>IFERROR(VLOOKUP(F106,[1]Реестр!A:K,3,0)*H106/G106,"")</f>
        <v>1.32</v>
      </c>
      <c r="B106" s="209">
        <f>IFERROR(VLOOKUP(F106,[1]Реестр!A:K,4,0)*H106/G106,"")</f>
        <v>0.24</v>
      </c>
      <c r="C106" s="209">
        <f>IFERROR(VLOOKUP(F106,[1]Реестр!A:K,5,0)*H106/G106,"")</f>
        <v>6.68</v>
      </c>
      <c r="D106" s="209">
        <f>IFERROR(VLOOKUP(F106,[1]Реестр!A:K,6,0)*H106/G106,"")</f>
        <v>38.6</v>
      </c>
      <c r="E106" s="210" t="str">
        <f>IFERROR(VLOOKUP(F106,[1]Реестр!A:K,11,0),"")</f>
        <v>-</v>
      </c>
      <c r="F106" s="217" t="s">
        <v>65</v>
      </c>
      <c r="G106" s="211" t="str">
        <f>IFERROR(VLOOKUP(F106,[1]Реестр!A:K,2,0),"")</f>
        <v>100</v>
      </c>
      <c r="H106" s="229" t="str">
        <f>"20"</f>
        <v>20</v>
      </c>
      <c r="I106" s="451"/>
      <c r="K106" s="208"/>
    </row>
    <row r="107" spans="1:12" ht="18.75" hidden="1" x14ac:dyDescent="0.3">
      <c r="A107" s="209">
        <f>IFERROR(VLOOKUP(F107,[1]Реестр!A:K,3,0)*H107/G107,"")</f>
        <v>1.32</v>
      </c>
      <c r="B107" s="209">
        <f>IFERROR(VLOOKUP(F107,[1]Реестр!A:K,4,0)*H107/G107,"")</f>
        <v>0.12</v>
      </c>
      <c r="C107" s="209">
        <f>IFERROR(VLOOKUP(F107,[1]Реестр!A:K,5,0)*H107/G107,"")</f>
        <v>9.36</v>
      </c>
      <c r="D107" s="209">
        <f>IFERROR(VLOOKUP(F107,[1]Реестр!A:K,6,0)*H107/G107,"")</f>
        <v>44.8</v>
      </c>
      <c r="E107" s="210" t="str">
        <f>IFERROR(VLOOKUP(F107,[1]Реестр!A:K,11,0),"")</f>
        <v>-</v>
      </c>
      <c r="F107" s="217" t="s">
        <v>66</v>
      </c>
      <c r="G107" s="211" t="str">
        <f>IFERROR(VLOOKUP(F107,[1]Реестр!A:K,2,0),"")</f>
        <v>100</v>
      </c>
      <c r="H107" s="206">
        <v>20</v>
      </c>
      <c r="I107" s="452"/>
      <c r="K107" s="208"/>
    </row>
    <row r="108" spans="1:12" ht="18.75" hidden="1" x14ac:dyDescent="0.3">
      <c r="A108" s="464" t="s">
        <v>16</v>
      </c>
      <c r="B108" s="464"/>
      <c r="C108" s="464"/>
      <c r="D108" s="464"/>
      <c r="E108" s="464"/>
      <c r="F108" s="464"/>
      <c r="G108" s="205"/>
      <c r="H108" s="206"/>
      <c r="I108" s="207">
        <f>SUM(I102)</f>
        <v>108.64</v>
      </c>
      <c r="K108" s="208"/>
    </row>
    <row r="109" spans="1:12" ht="18.75" hidden="1" x14ac:dyDescent="0.3">
      <c r="A109" s="462" t="s">
        <v>566</v>
      </c>
      <c r="B109" s="462"/>
      <c r="C109" s="462"/>
      <c r="D109" s="462"/>
      <c r="E109" s="462"/>
      <c r="F109" s="462"/>
      <c r="G109" s="462"/>
      <c r="H109" s="462"/>
      <c r="I109" s="462"/>
      <c r="K109" s="208"/>
    </row>
    <row r="110" spans="1:12" ht="30" hidden="1" x14ac:dyDescent="0.25">
      <c r="A110" s="367">
        <v>1.03</v>
      </c>
      <c r="B110" s="353">
        <v>4.7699999999999996</v>
      </c>
      <c r="C110" s="353">
        <v>6.38</v>
      </c>
      <c r="D110" s="353">
        <v>68.989999999999995</v>
      </c>
      <c r="E110" s="357" t="str">
        <f>"7/80"</f>
        <v>7/80</v>
      </c>
      <c r="F110" s="228" t="s">
        <v>678</v>
      </c>
      <c r="G110" s="211" t="str">
        <f>IFERROR(VLOOKUP(F110,[2]Реестр!A:K,2,0),"")</f>
        <v/>
      </c>
      <c r="H110" s="263" t="s">
        <v>81</v>
      </c>
      <c r="I110" s="450">
        <v>162.94999999999999</v>
      </c>
      <c r="K110" s="208"/>
    </row>
    <row r="111" spans="1:12" ht="30" hidden="1" x14ac:dyDescent="0.25">
      <c r="A111" s="263">
        <v>12.44</v>
      </c>
      <c r="B111" s="263">
        <v>7.77</v>
      </c>
      <c r="C111" s="263">
        <v>25.16</v>
      </c>
      <c r="D111" s="263">
        <v>208</v>
      </c>
      <c r="E111" s="228" t="str">
        <f>"6/57 (2004 № 139)"</f>
        <v>6/57 (2004 № 139)</v>
      </c>
      <c r="F111" s="228" t="s">
        <v>603</v>
      </c>
      <c r="G111" s="211" t="str">
        <f>IFERROR(VLOOKUP(F111,[2]Реестр!A:K,2,0),"")</f>
        <v/>
      </c>
      <c r="H111" s="243" t="str">
        <f>"250"</f>
        <v>250</v>
      </c>
      <c r="I111" s="451"/>
      <c r="K111" s="208"/>
    </row>
    <row r="112" spans="1:12" ht="18.75" hidden="1" x14ac:dyDescent="0.25">
      <c r="A112" s="263">
        <v>16.579999999999998</v>
      </c>
      <c r="B112" s="263">
        <v>19.5</v>
      </c>
      <c r="C112" s="263">
        <v>68.38</v>
      </c>
      <c r="D112" s="263">
        <v>327.07</v>
      </c>
      <c r="E112" s="349" t="str">
        <f>"8/35"</f>
        <v>8/35</v>
      </c>
      <c r="F112" s="349" t="s">
        <v>549</v>
      </c>
      <c r="G112" s="211"/>
      <c r="H112" s="266">
        <v>200</v>
      </c>
      <c r="I112" s="451"/>
      <c r="K112" s="208"/>
    </row>
    <row r="113" spans="1:11" ht="18.75" hidden="1" x14ac:dyDescent="0.25">
      <c r="A113" s="263">
        <v>0.14000000000000001</v>
      </c>
      <c r="B113" s="263">
        <v>0.1</v>
      </c>
      <c r="C113" s="263">
        <v>11</v>
      </c>
      <c r="D113" s="263">
        <v>83.962620000000015</v>
      </c>
      <c r="E113" s="228" t="str">
        <f>"11/73"</f>
        <v>11/73</v>
      </c>
      <c r="F113" s="228" t="s">
        <v>669</v>
      </c>
      <c r="G113" s="211"/>
      <c r="H113" s="263" t="s">
        <v>118</v>
      </c>
      <c r="I113" s="451"/>
      <c r="K113" s="208"/>
    </row>
    <row r="114" spans="1:11" ht="18.75" hidden="1" customHeight="1" x14ac:dyDescent="0.25">
      <c r="A114" s="264">
        <v>2.64</v>
      </c>
      <c r="B114" s="264">
        <v>0.48</v>
      </c>
      <c r="C114" s="264">
        <v>16.68</v>
      </c>
      <c r="D114" s="264">
        <v>77.352000000000004</v>
      </c>
      <c r="E114" s="228" t="str">
        <f>"-"</f>
        <v>-</v>
      </c>
      <c r="F114" s="217" t="s">
        <v>66</v>
      </c>
      <c r="G114" s="211"/>
      <c r="H114" s="264" t="str">
        <f>"40"</f>
        <v>40</v>
      </c>
      <c r="I114" s="451"/>
      <c r="K114" s="208"/>
    </row>
    <row r="115" spans="1:11" ht="18.75" hidden="1" x14ac:dyDescent="0.25">
      <c r="A115" s="264">
        <v>2.64</v>
      </c>
      <c r="B115" s="264">
        <v>0.48</v>
      </c>
      <c r="C115" s="264">
        <v>16.68</v>
      </c>
      <c r="D115" s="264">
        <v>77.352000000000004</v>
      </c>
      <c r="E115" s="265" t="str">
        <f>"-"</f>
        <v>-</v>
      </c>
      <c r="F115" s="217" t="s">
        <v>65</v>
      </c>
      <c r="G115" s="211" t="str">
        <f>IFERROR(VLOOKUP(F115,[2]Реестр!A:K,2,0),"")</f>
        <v>100</v>
      </c>
      <c r="H115" s="264" t="str">
        <f>"40"</f>
        <v>40</v>
      </c>
      <c r="I115" s="451"/>
      <c r="K115" s="208"/>
    </row>
    <row r="116" spans="1:11" ht="18.75" hidden="1" x14ac:dyDescent="0.25">
      <c r="A116" s="241"/>
      <c r="B116" s="241"/>
      <c r="C116" s="241"/>
      <c r="D116" s="241"/>
      <c r="E116" s="265"/>
      <c r="F116" s="217"/>
      <c r="G116" s="211"/>
      <c r="H116" s="269"/>
      <c r="I116" s="451"/>
      <c r="K116" s="208"/>
    </row>
    <row r="117" spans="1:11" ht="18.75" hidden="1" x14ac:dyDescent="0.3">
      <c r="A117" s="464" t="s">
        <v>16</v>
      </c>
      <c r="B117" s="464"/>
      <c r="C117" s="464"/>
      <c r="D117" s="464"/>
      <c r="E117" s="464"/>
      <c r="F117" s="464"/>
      <c r="G117" s="205"/>
      <c r="H117" s="206"/>
      <c r="I117" s="207">
        <f>SUM(I110:I116)</f>
        <v>162.94999999999999</v>
      </c>
      <c r="K117" s="208"/>
    </row>
    <row r="118" spans="1:11" ht="18.75" hidden="1" x14ac:dyDescent="0.3">
      <c r="A118" s="462" t="s">
        <v>550</v>
      </c>
      <c r="B118" s="462"/>
      <c r="C118" s="462"/>
      <c r="D118" s="462"/>
      <c r="E118" s="462"/>
      <c r="F118" s="462"/>
      <c r="G118" s="462"/>
      <c r="H118" s="462"/>
      <c r="I118" s="462"/>
      <c r="K118" s="208"/>
    </row>
    <row r="119" spans="1:11" ht="30" hidden="1" x14ac:dyDescent="0.25">
      <c r="A119" s="367">
        <v>1.03</v>
      </c>
      <c r="B119" s="353">
        <v>4.7699999999999996</v>
      </c>
      <c r="C119" s="353">
        <v>6.38</v>
      </c>
      <c r="D119" s="353">
        <v>68.989999999999995</v>
      </c>
      <c r="E119" s="357" t="str">
        <f>"7/80"</f>
        <v>7/80</v>
      </c>
      <c r="F119" s="228" t="s">
        <v>678</v>
      </c>
      <c r="G119" s="211" t="str">
        <f>IFERROR(VLOOKUP(F119,[2]Реестр!A:K,2,0),"")</f>
        <v/>
      </c>
      <c r="H119" s="210">
        <v>80</v>
      </c>
      <c r="I119" s="450">
        <v>162.94999999999999</v>
      </c>
      <c r="K119" s="208"/>
    </row>
    <row r="120" spans="1:11" ht="18.75" hidden="1" x14ac:dyDescent="0.3">
      <c r="A120" s="263">
        <v>5.55</v>
      </c>
      <c r="B120" s="263">
        <v>12.08</v>
      </c>
      <c r="C120" s="263">
        <v>17.95</v>
      </c>
      <c r="D120" s="263">
        <v>199.78905478333331</v>
      </c>
      <c r="E120" s="227" t="str">
        <f>"6/70-1"</f>
        <v>6/70-1</v>
      </c>
      <c r="F120" s="228" t="s">
        <v>670</v>
      </c>
      <c r="G120" s="211" t="str">
        <f>IFERROR(VLOOKUP(F120,[2]Реестр!A:K,2,0),"")</f>
        <v>300</v>
      </c>
      <c r="H120" s="206">
        <v>250</v>
      </c>
      <c r="I120" s="451"/>
      <c r="K120" s="208"/>
    </row>
    <row r="121" spans="1:11" ht="18.75" hidden="1" x14ac:dyDescent="0.3">
      <c r="A121" s="263">
        <v>16.579999999999998</v>
      </c>
      <c r="B121" s="263">
        <v>19.5</v>
      </c>
      <c r="C121" s="263">
        <v>68.38</v>
      </c>
      <c r="D121" s="263">
        <v>327.07</v>
      </c>
      <c r="E121" s="349" t="str">
        <f>"8/35"</f>
        <v>8/35</v>
      </c>
      <c r="F121" s="349" t="s">
        <v>549</v>
      </c>
      <c r="G121" s="211" t="str">
        <f>IFERROR(VLOOKUP(F121,[2]Реестр!A:K,2,0),"")</f>
        <v/>
      </c>
      <c r="H121" s="206">
        <v>200</v>
      </c>
      <c r="I121" s="451"/>
      <c r="K121" s="208"/>
    </row>
    <row r="122" spans="1:11" ht="18.75" hidden="1" x14ac:dyDescent="0.3">
      <c r="A122" s="263">
        <v>0.14000000000000001</v>
      </c>
      <c r="B122" s="263">
        <v>0.1</v>
      </c>
      <c r="C122" s="263">
        <v>1.5</v>
      </c>
      <c r="D122" s="263">
        <v>83.962620000000015</v>
      </c>
      <c r="E122" s="349" t="str">
        <f>"11/1"</f>
        <v>11/1</v>
      </c>
      <c r="F122" s="349" t="s">
        <v>317</v>
      </c>
      <c r="G122" s="211">
        <f>IFERROR(VLOOKUP(F122,[2]Реестр!A:K,2,0),"")</f>
        <v>200</v>
      </c>
      <c r="H122" s="206">
        <v>200</v>
      </c>
      <c r="I122" s="451"/>
      <c r="K122" s="208"/>
    </row>
    <row r="123" spans="1:11" ht="18.75" hidden="1" x14ac:dyDescent="0.3">
      <c r="A123" s="209">
        <v>2.64</v>
      </c>
      <c r="B123" s="209">
        <v>0.24</v>
      </c>
      <c r="C123" s="209">
        <v>18.72</v>
      </c>
      <c r="D123" s="209">
        <v>89.6</v>
      </c>
      <c r="E123" s="210" t="s">
        <v>471</v>
      </c>
      <c r="F123" s="217" t="s">
        <v>66</v>
      </c>
      <c r="G123" s="211" t="str">
        <f>IFERROR(VLOOKUP(F123,[2]Реестр!A:K,2,0),"")</f>
        <v>100</v>
      </c>
      <c r="H123" s="206">
        <v>40</v>
      </c>
      <c r="I123" s="451"/>
      <c r="K123" s="208"/>
    </row>
    <row r="124" spans="1:11" ht="18.75" hidden="1" x14ac:dyDescent="0.3">
      <c r="A124" s="209">
        <v>2.64</v>
      </c>
      <c r="B124" s="209">
        <v>0.48</v>
      </c>
      <c r="C124" s="209">
        <v>13.36</v>
      </c>
      <c r="D124" s="209">
        <v>77.2</v>
      </c>
      <c r="E124" s="210" t="s">
        <v>471</v>
      </c>
      <c r="F124" s="217" t="s">
        <v>65</v>
      </c>
      <c r="G124" s="211" t="str">
        <f>IFERROR(VLOOKUP(F124,[2]Реестр!A:K,2,0),"")</f>
        <v>100</v>
      </c>
      <c r="H124" s="206">
        <v>40</v>
      </c>
      <c r="I124" s="451"/>
      <c r="K124" s="208"/>
    </row>
    <row r="125" spans="1:11" ht="18.75" hidden="1" x14ac:dyDescent="0.25">
      <c r="A125" s="264"/>
      <c r="B125" s="264"/>
      <c r="C125" s="264"/>
      <c r="D125" s="264"/>
      <c r="E125" s="265"/>
      <c r="F125" s="217"/>
      <c r="G125" s="211"/>
      <c r="H125" s="264"/>
      <c r="I125" s="451"/>
      <c r="K125" s="208"/>
    </row>
    <row r="126" spans="1:11" ht="18.75" hidden="1" x14ac:dyDescent="0.3">
      <c r="A126" s="464" t="s">
        <v>16</v>
      </c>
      <c r="B126" s="464"/>
      <c r="C126" s="464"/>
      <c r="D126" s="464"/>
      <c r="E126" s="464"/>
      <c r="F126" s="464"/>
      <c r="G126" s="205"/>
      <c r="H126" s="206"/>
      <c r="I126" s="207">
        <f>SUM(I119)</f>
        <v>162.94999999999999</v>
      </c>
      <c r="K126" s="208"/>
    </row>
    <row r="127" spans="1:11" ht="18.75" x14ac:dyDescent="0.3">
      <c r="A127" s="465" t="s">
        <v>596</v>
      </c>
      <c r="B127" s="466"/>
      <c r="C127" s="466"/>
      <c r="D127" s="466"/>
      <c r="E127" s="466"/>
      <c r="F127" s="466"/>
      <c r="G127" s="466"/>
      <c r="H127" s="466"/>
      <c r="I127" s="467"/>
      <c r="K127" s="208"/>
    </row>
    <row r="128" spans="1:11" ht="30" x14ac:dyDescent="0.25">
      <c r="A128" s="367">
        <v>1.03</v>
      </c>
      <c r="B128" s="353">
        <v>4.7699999999999996</v>
      </c>
      <c r="C128" s="353">
        <v>6.38</v>
      </c>
      <c r="D128" s="353">
        <v>68.989999999999995</v>
      </c>
      <c r="E128" s="357" t="str">
        <f>"7/80"</f>
        <v>7/80</v>
      </c>
      <c r="F128" s="228" t="s">
        <v>678</v>
      </c>
      <c r="G128" s="211" t="str">
        <f>IFERROR(VLOOKUP(F128,[2]Реестр!A:K,2,0),"")</f>
        <v/>
      </c>
      <c r="H128" s="210">
        <v>80</v>
      </c>
      <c r="I128" s="230">
        <v>21.73</v>
      </c>
      <c r="K128" s="208"/>
    </row>
    <row r="129" spans="1:11" ht="18.75" x14ac:dyDescent="0.3">
      <c r="A129" s="263">
        <v>5.55</v>
      </c>
      <c r="B129" s="263">
        <v>7.8</v>
      </c>
      <c r="C129" s="263">
        <v>15.95</v>
      </c>
      <c r="D129" s="263">
        <v>199.78905478333331</v>
      </c>
      <c r="E129" s="350" t="str">
        <f>"6/70"</f>
        <v>6/70</v>
      </c>
      <c r="F129" s="350" t="s">
        <v>220</v>
      </c>
      <c r="G129" s="211" t="str">
        <f>IFERROR(VLOOKUP(F129,[2]Реестр!A:K,2,0),"")</f>
        <v>300</v>
      </c>
      <c r="H129" s="206">
        <v>250</v>
      </c>
      <c r="I129" s="207">
        <v>42</v>
      </c>
      <c r="K129" s="208"/>
    </row>
    <row r="130" spans="1:11" ht="18.75" x14ac:dyDescent="0.3">
      <c r="A130" s="263">
        <v>16.579999999999998</v>
      </c>
      <c r="B130" s="263">
        <v>19.5</v>
      </c>
      <c r="C130" s="263">
        <v>68.38</v>
      </c>
      <c r="D130" s="263">
        <v>327.07</v>
      </c>
      <c r="E130" s="349" t="str">
        <f>"8/35"</f>
        <v>8/35</v>
      </c>
      <c r="F130" s="349" t="s">
        <v>549</v>
      </c>
      <c r="G130" s="211" t="str">
        <f>IFERROR(VLOOKUP(F130,[2]Реестр!A:K,2,0),"")</f>
        <v/>
      </c>
      <c r="H130" s="206">
        <v>200</v>
      </c>
      <c r="I130" s="206">
        <v>87.64</v>
      </c>
      <c r="K130" s="208"/>
    </row>
    <row r="131" spans="1:11" ht="18.75" x14ac:dyDescent="0.3">
      <c r="A131" s="263">
        <v>0.14000000000000001</v>
      </c>
      <c r="B131" s="263">
        <v>0.1</v>
      </c>
      <c r="C131" s="263">
        <v>1.5</v>
      </c>
      <c r="D131" s="263">
        <v>83.962620000000015</v>
      </c>
      <c r="E131" s="349" t="str">
        <f>"11/1"</f>
        <v>11/1</v>
      </c>
      <c r="F131" s="349" t="s">
        <v>317</v>
      </c>
      <c r="G131" s="211">
        <f>IFERROR(VLOOKUP(F131,[2]Реестр!A:K,2,0),"")</f>
        <v>200</v>
      </c>
      <c r="H131" s="206">
        <v>200</v>
      </c>
      <c r="I131" s="207">
        <v>4.38</v>
      </c>
      <c r="K131" s="208"/>
    </row>
    <row r="132" spans="1:11" ht="18.75" x14ac:dyDescent="0.3">
      <c r="A132" s="209">
        <v>2.64</v>
      </c>
      <c r="B132" s="209">
        <v>0.24</v>
      </c>
      <c r="C132" s="209">
        <v>18.72</v>
      </c>
      <c r="D132" s="209">
        <v>89.6</v>
      </c>
      <c r="E132" s="210" t="s">
        <v>471</v>
      </c>
      <c r="F132" s="217" t="s">
        <v>66</v>
      </c>
      <c r="G132" s="211" t="str">
        <f>IFERROR(VLOOKUP(F132,[2]Реестр!A:K,2,0),"")</f>
        <v>100</v>
      </c>
      <c r="H132" s="206">
        <v>40</v>
      </c>
      <c r="I132" s="207">
        <v>3.6</v>
      </c>
      <c r="K132" s="208"/>
    </row>
    <row r="133" spans="1:11" ht="18.75" x14ac:dyDescent="0.3">
      <c r="A133" s="209">
        <v>2.64</v>
      </c>
      <c r="B133" s="209">
        <v>0.48</v>
      </c>
      <c r="C133" s="209">
        <v>13.36</v>
      </c>
      <c r="D133" s="209">
        <v>77.2</v>
      </c>
      <c r="E133" s="210" t="s">
        <v>471</v>
      </c>
      <c r="F133" s="217" t="s">
        <v>65</v>
      </c>
      <c r="G133" s="211" t="str">
        <f>IFERROR(VLOOKUP(F133,[2]Реестр!A:K,2,0),"")</f>
        <v>100</v>
      </c>
      <c r="H133" s="206">
        <v>40</v>
      </c>
      <c r="I133" s="207">
        <v>3.6</v>
      </c>
      <c r="K133" s="208"/>
    </row>
    <row r="134" spans="1:11" ht="18.75" x14ac:dyDescent="0.3">
      <c r="A134" s="196"/>
      <c r="B134" s="196"/>
      <c r="C134" s="196"/>
      <c r="D134" s="196"/>
      <c r="E134" s="214"/>
      <c r="F134" s="204"/>
      <c r="G134" s="199"/>
      <c r="H134" s="200"/>
      <c r="I134" s="203"/>
      <c r="K134" s="208"/>
    </row>
    <row r="135" spans="1:11" ht="18.75" x14ac:dyDescent="0.3">
      <c r="A135" s="453" t="s">
        <v>16</v>
      </c>
      <c r="B135" s="454"/>
      <c r="C135" s="454"/>
      <c r="D135" s="454"/>
      <c r="E135" s="454"/>
      <c r="F135" s="455"/>
      <c r="G135" s="205"/>
      <c r="H135" s="206"/>
      <c r="I135" s="207">
        <f>SUM(I128:I134)</f>
        <v>162.94999999999999</v>
      </c>
      <c r="K135" s="208"/>
    </row>
    <row r="136" spans="1:11" ht="18.75" x14ac:dyDescent="0.3">
      <c r="A136" s="481" t="s">
        <v>677</v>
      </c>
      <c r="B136" s="482"/>
      <c r="C136" s="482"/>
      <c r="D136" s="482"/>
      <c r="E136" s="482"/>
      <c r="F136" s="482"/>
      <c r="G136" s="482"/>
      <c r="H136" s="482"/>
      <c r="I136" s="483"/>
      <c r="K136" s="208"/>
    </row>
    <row r="137" spans="1:11" ht="18.75" x14ac:dyDescent="0.3">
      <c r="A137" s="263">
        <v>5.55</v>
      </c>
      <c r="B137" s="263">
        <v>7.8</v>
      </c>
      <c r="C137" s="263">
        <v>15.95</v>
      </c>
      <c r="D137" s="263">
        <v>199.78905478333331</v>
      </c>
      <c r="E137" s="350" t="str">
        <f>"6/70"</f>
        <v>6/70</v>
      </c>
      <c r="F137" s="350" t="s">
        <v>220</v>
      </c>
      <c r="G137" s="211" t="str">
        <f>IFERROR(VLOOKUP(F137,[2]Реестр!A:K,2,0),"")</f>
        <v>300</v>
      </c>
      <c r="H137" s="206">
        <v>250</v>
      </c>
      <c r="I137" s="450">
        <v>130.88</v>
      </c>
      <c r="K137" s="208"/>
    </row>
    <row r="138" spans="1:11" ht="18.75" x14ac:dyDescent="0.3">
      <c r="A138" s="263">
        <v>16.579999999999998</v>
      </c>
      <c r="B138" s="263">
        <v>19.5</v>
      </c>
      <c r="C138" s="263">
        <v>68.38</v>
      </c>
      <c r="D138" s="263">
        <v>327.07</v>
      </c>
      <c r="E138" s="349" t="str">
        <f>"8/35"</f>
        <v>8/35</v>
      </c>
      <c r="F138" s="349" t="s">
        <v>549</v>
      </c>
      <c r="G138" s="211" t="str">
        <f>IFERROR(VLOOKUP(F138,[2]Реестр!A:K,2,0),"")</f>
        <v/>
      </c>
      <c r="H138" s="206">
        <v>200</v>
      </c>
      <c r="I138" s="451"/>
      <c r="K138" s="208"/>
    </row>
    <row r="139" spans="1:11" ht="18.75" x14ac:dyDescent="0.3">
      <c r="A139" s="263">
        <v>0.14000000000000001</v>
      </c>
      <c r="B139" s="263">
        <v>0.1</v>
      </c>
      <c r="C139" s="263">
        <v>1.5</v>
      </c>
      <c r="D139" s="263">
        <v>83.962620000000015</v>
      </c>
      <c r="E139" s="349" t="str">
        <f>"11/1"</f>
        <v>11/1</v>
      </c>
      <c r="F139" s="349" t="s">
        <v>317</v>
      </c>
      <c r="G139" s="211">
        <f>IFERROR(VLOOKUP(F139,[2]Реестр!A:K,2,0),"")</f>
        <v>200</v>
      </c>
      <c r="H139" s="206">
        <v>200</v>
      </c>
      <c r="I139" s="451"/>
      <c r="K139" s="208"/>
    </row>
    <row r="140" spans="1:11" ht="18.75" x14ac:dyDescent="0.3">
      <c r="A140" s="209">
        <v>2.64</v>
      </c>
      <c r="B140" s="209">
        <v>0.24</v>
      </c>
      <c r="C140" s="209">
        <v>18.72</v>
      </c>
      <c r="D140" s="209">
        <v>89.6</v>
      </c>
      <c r="E140" s="210" t="s">
        <v>471</v>
      </c>
      <c r="F140" s="217" t="s">
        <v>66</v>
      </c>
      <c r="G140" s="211" t="str">
        <f>IFERROR(VLOOKUP(F140,[2]Реестр!A:K,2,0),"")</f>
        <v>100</v>
      </c>
      <c r="H140" s="206">
        <v>40</v>
      </c>
      <c r="I140" s="451"/>
      <c r="K140" s="208"/>
    </row>
    <row r="141" spans="1:11" ht="18.75" x14ac:dyDescent="0.3">
      <c r="A141" s="209">
        <v>2.64</v>
      </c>
      <c r="B141" s="209">
        <v>0.48</v>
      </c>
      <c r="C141" s="209">
        <v>13.36</v>
      </c>
      <c r="D141" s="209">
        <v>77.2</v>
      </c>
      <c r="E141" s="210" t="s">
        <v>471</v>
      </c>
      <c r="F141" s="217" t="s">
        <v>65</v>
      </c>
      <c r="G141" s="211" t="str">
        <f>IFERROR(VLOOKUP(F141,[2]Реестр!A:K,2,0),"")</f>
        <v>100</v>
      </c>
      <c r="H141" s="206">
        <v>40</v>
      </c>
      <c r="I141" s="452"/>
      <c r="K141" s="208"/>
    </row>
    <row r="142" spans="1:11" ht="18.75" x14ac:dyDescent="0.3">
      <c r="A142" s="453" t="s">
        <v>16</v>
      </c>
      <c r="B142" s="454"/>
      <c r="C142" s="454"/>
      <c r="D142" s="454"/>
      <c r="E142" s="454"/>
      <c r="F142" s="455"/>
      <c r="G142" s="205"/>
      <c r="H142" s="206"/>
      <c r="I142" s="207">
        <f>SUM(I137:I141)</f>
        <v>130.88</v>
      </c>
      <c r="K142" s="208"/>
    </row>
    <row r="144" spans="1:11" ht="18.75" x14ac:dyDescent="0.3">
      <c r="F144" s="254" t="s">
        <v>37</v>
      </c>
      <c r="G144" s="270"/>
      <c r="H144" s="257"/>
      <c r="I144" s="258"/>
    </row>
  </sheetData>
  <autoFilter ref="A4:I93" xr:uid="{00000000-0009-0000-0000-00000E000000}"/>
  <mergeCells count="55">
    <mergeCell ref="A142:F142"/>
    <mergeCell ref="A135:F135"/>
    <mergeCell ref="I119:I125"/>
    <mergeCell ref="A126:F126"/>
    <mergeCell ref="A127:I127"/>
    <mergeCell ref="A100:F100"/>
    <mergeCell ref="I110:I116"/>
    <mergeCell ref="A117:F117"/>
    <mergeCell ref="A136:I136"/>
    <mergeCell ref="I137:I141"/>
    <mergeCell ref="A118:I118"/>
    <mergeCell ref="I102:I107"/>
    <mergeCell ref="A108:F108"/>
    <mergeCell ref="A109:I109"/>
    <mergeCell ref="A101:I101"/>
    <mergeCell ref="A84:F84"/>
    <mergeCell ref="A85:I85"/>
    <mergeCell ref="A93:F93"/>
    <mergeCell ref="A94:I94"/>
    <mergeCell ref="I95:I99"/>
    <mergeCell ref="A71:I71"/>
    <mergeCell ref="A78:F78"/>
    <mergeCell ref="A79:I79"/>
    <mergeCell ref="A81:F81"/>
    <mergeCell ref="A82:I82"/>
    <mergeCell ref="A70:F70"/>
    <mergeCell ref="A22:I22"/>
    <mergeCell ref="A29:F29"/>
    <mergeCell ref="A30:I30"/>
    <mergeCell ref="A38:F38"/>
    <mergeCell ref="A39:I39"/>
    <mergeCell ref="A40:I40"/>
    <mergeCell ref="A46:I46"/>
    <mergeCell ref="A54:F54"/>
    <mergeCell ref="A55:I55"/>
    <mergeCell ref="A56:I56"/>
    <mergeCell ref="A62:I62"/>
    <mergeCell ref="I4:I5"/>
    <mergeCell ref="J4:J5"/>
    <mergeCell ref="A6:I6"/>
    <mergeCell ref="A12:F12"/>
    <mergeCell ref="A13:I13"/>
    <mergeCell ref="G4:G5"/>
    <mergeCell ref="H4:H5"/>
    <mergeCell ref="A21:F21"/>
    <mergeCell ref="A4:C4"/>
    <mergeCell ref="D4:D5"/>
    <mergeCell ref="E4:E5"/>
    <mergeCell ref="F4:F5"/>
    <mergeCell ref="A1:B1"/>
    <mergeCell ref="H1:I1"/>
    <mergeCell ref="H2:I2"/>
    <mergeCell ref="A3:C3"/>
    <mergeCell ref="D3:E3"/>
    <mergeCell ref="H3:I3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E00-000001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F7:F9 F17:F18 F25:F26 F116 F50:F51 F66:F67 F74:F75 F102:F104 F111 F57:F59 F122:F123 F41:F43 F95:F97 F89:F90 F34:F35 F107 F113 F131:F132</xm:sqref>
        </x14:dataValidation>
        <x14:dataValidation type="list" allowBlank="1" showInputMessage="1" showErrorMessage="1" xr:uid="{00000000-0002-0000-0E00-000002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F91 F19 F27:F28 F36 F52 F68 F76:F77 F124 F133 F10:F11 F44:F45 F60:F61 F98:F99 F105:F106 F141</xm:sqref>
        </x14:dataValidation>
        <x14:dataValidation type="list" allowBlank="1" showInputMessage="1" showErrorMessage="1" xr:uid="{00000000-0002-0000-0E00-000003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F20 F134 F53 F37 F92 F69 F115 F125</xm:sqref>
        </x14:dataValidation>
        <x14:dataValidation type="list" allowBlank="1" showInputMessage="1" showErrorMessage="1" xr:uid="{00000000-0002-0000-0E00-000004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F110 F137:F138 F24 F119:F121 F31 F33 F83 F65 F86 F73 F112 F14:F16 F47:F49 F63 F88 F128:F130</xm:sqref>
        </x14:dataValidation>
        <x14:dataValidation type="list" allowBlank="1" showInputMessage="1" showErrorMessage="1" xr:uid="{00000000-0002-0000-0E00-000005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F10:F11 F19 F27:F28 F91 F52 F68 F76:F77 F98:F99 F124 F44:F45 F36 F60:F61 F105:F106 F133 F141</xm:sqref>
        </x14:dataValidation>
        <x14:dataValidation type="list" allowBlank="1" showInputMessage="1" showErrorMessage="1" xr:uid="{00000000-0002-0000-0E00-000006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F23 F80 F72</xm:sqref>
        </x14:dataValidation>
        <x14:dataValidation type="list" allowBlank="1" showInputMessage="1" showErrorMessage="1" xr:uid="{6FD8D404-1ED8-4C8E-95EB-0B1BF561F2A6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F114</xm:sqref>
        </x14:dataValidation>
        <x14:dataValidation type="list" allowBlank="1" showInputMessage="1" showErrorMessage="1" xr:uid="{5702FE96-4F0A-4F78-9BB7-4F301BD23A05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F32 F64 F87 F139:F140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33">
    <pageSetUpPr fitToPage="1"/>
  </sheetPr>
  <dimension ref="A1:L155"/>
  <sheetViews>
    <sheetView view="pageBreakPreview" topLeftCell="A124" zoomScaleNormal="100" zoomScaleSheetLayoutView="100" workbookViewId="0">
      <selection activeCell="F11" sqref="F11"/>
    </sheetView>
  </sheetViews>
  <sheetFormatPr defaultRowHeight="15.75" x14ac:dyDescent="0.25"/>
  <cols>
    <col min="1" max="1" width="11.28515625" style="215" customWidth="1"/>
    <col min="2" max="2" width="11.28515625" style="252" customWidth="1"/>
    <col min="3" max="3" width="10.5703125" style="253" customWidth="1"/>
    <col min="4" max="4" width="10.28515625" style="253" customWidth="1"/>
    <col min="5" max="5" width="14" style="253" customWidth="1"/>
    <col min="6" max="6" width="57.85546875" style="253" customWidth="1"/>
    <col min="7" max="7" width="17.85546875" style="253" hidden="1" customWidth="1"/>
    <col min="8" max="9" width="15.5703125" style="253" customWidth="1"/>
    <col min="10" max="10" width="25.5703125" style="215" customWidth="1"/>
    <col min="11" max="1025" width="8.7109375" style="202" customWidth="1"/>
    <col min="1026" max="16384" width="9.140625" style="202"/>
  </cols>
  <sheetData>
    <row r="1" spans="1:12" s="234" customFormat="1" ht="29.25" customHeight="1" x14ac:dyDescent="0.25">
      <c r="A1" s="468" t="s">
        <v>0</v>
      </c>
      <c r="B1" s="468"/>
      <c r="C1" s="235"/>
      <c r="D1" s="235"/>
      <c r="E1" s="235"/>
      <c r="F1" s="231" t="s">
        <v>1</v>
      </c>
      <c r="G1" s="231"/>
      <c r="H1" s="439" t="s">
        <v>0</v>
      </c>
      <c r="I1" s="439"/>
    </row>
    <row r="2" spans="1:12" s="234" customFormat="1" ht="29.25" customHeight="1" x14ac:dyDescent="0.25">
      <c r="A2" s="235" t="s">
        <v>2</v>
      </c>
      <c r="B2" s="235"/>
      <c r="C2" s="259"/>
      <c r="D2" s="259"/>
      <c r="E2" s="259"/>
      <c r="F2" s="231" t="s">
        <v>637</v>
      </c>
      <c r="G2" s="231"/>
      <c r="H2" s="469" t="s">
        <v>638</v>
      </c>
      <c r="I2" s="469"/>
      <c r="J2" s="235"/>
    </row>
    <row r="3" spans="1:12" s="234" customFormat="1" ht="29.25" customHeight="1" x14ac:dyDescent="0.25">
      <c r="A3" s="437" t="s">
        <v>522</v>
      </c>
      <c r="B3" s="437"/>
      <c r="C3" s="437"/>
      <c r="D3" s="438"/>
      <c r="E3" s="438"/>
      <c r="F3" s="371" t="s">
        <v>685</v>
      </c>
      <c r="G3" s="231"/>
      <c r="H3" s="470" t="s">
        <v>639</v>
      </c>
      <c r="I3" s="470"/>
    </row>
    <row r="4" spans="1:12" ht="15" customHeight="1" x14ac:dyDescent="0.25">
      <c r="A4" s="472" t="s">
        <v>4</v>
      </c>
      <c r="B4" s="472"/>
      <c r="C4" s="472"/>
      <c r="D4" s="471" t="s">
        <v>5</v>
      </c>
      <c r="E4" s="471" t="s">
        <v>6</v>
      </c>
      <c r="F4" s="471" t="s">
        <v>7</v>
      </c>
      <c r="G4" s="473" t="s">
        <v>8</v>
      </c>
      <c r="H4" s="471" t="s">
        <v>9</v>
      </c>
      <c r="I4" s="471" t="s">
        <v>10</v>
      </c>
      <c r="J4" s="471" t="s">
        <v>11</v>
      </c>
    </row>
    <row r="5" spans="1:12" x14ac:dyDescent="0.25">
      <c r="A5" s="232" t="s">
        <v>12</v>
      </c>
      <c r="B5" s="232" t="s">
        <v>13</v>
      </c>
      <c r="C5" s="232" t="s">
        <v>14</v>
      </c>
      <c r="D5" s="471"/>
      <c r="E5" s="471"/>
      <c r="F5" s="471"/>
      <c r="G5" s="473"/>
      <c r="H5" s="471"/>
      <c r="I5" s="471"/>
      <c r="J5" s="471"/>
    </row>
    <row r="6" spans="1:12" ht="18" customHeight="1" x14ac:dyDescent="0.3">
      <c r="A6" s="462" t="s">
        <v>15</v>
      </c>
      <c r="B6" s="462"/>
      <c r="C6" s="462"/>
      <c r="D6" s="462"/>
      <c r="E6" s="462"/>
      <c r="F6" s="462"/>
      <c r="G6" s="462"/>
      <c r="H6" s="462"/>
      <c r="I6" s="462"/>
      <c r="J6" s="212"/>
    </row>
    <row r="7" spans="1:12" ht="18" customHeight="1" x14ac:dyDescent="0.3">
      <c r="A7" s="209">
        <f>IFERROR(VLOOKUP(F7,[1]Реестр!A:K,3,0)*H7/G7,"")</f>
        <v>3.84</v>
      </c>
      <c r="B7" s="209">
        <f>IFERROR(VLOOKUP(F7,[1]Реестр!A:K,4,0)*H7/G7,"")</f>
        <v>10.1</v>
      </c>
      <c r="C7" s="209">
        <f>IFERROR(VLOOKUP(F7,[1]Реестр!A:K,5,0)*H7/G7,"")</f>
        <v>9.77</v>
      </c>
      <c r="D7" s="209">
        <f>IFERROR(VLOOKUP(F7,[1]Реестр!A:K,6,0)*H7/G7,"")</f>
        <v>145.38300000000001</v>
      </c>
      <c r="E7" s="210" t="str">
        <f>IFERROR(VLOOKUP(F7,[1]Реестр!A:K,11,0),"")</f>
        <v>1*57</v>
      </c>
      <c r="F7" s="355" t="s">
        <v>106</v>
      </c>
      <c r="G7" s="211" t="str">
        <f>IFERROR(VLOOKUP(F7,[1]Реестр!A:K,2,0),"")</f>
        <v>40</v>
      </c>
      <c r="H7" s="210">
        <v>40</v>
      </c>
      <c r="I7" s="207">
        <v>26.85</v>
      </c>
      <c r="J7" s="201" t="str">
        <f>IFERROR(VLOOKUP(O7,Реестр!#REF!,3,0)*Q7/P7,"")</f>
        <v/>
      </c>
    </row>
    <row r="8" spans="1:12" ht="18" customHeight="1" x14ac:dyDescent="0.3">
      <c r="A8" s="209">
        <v>9.75</v>
      </c>
      <c r="B8" s="209">
        <v>12.14</v>
      </c>
      <c r="C8" s="209">
        <v>36.06</v>
      </c>
      <c r="D8" s="209">
        <v>291.64</v>
      </c>
      <c r="E8" s="349" t="str">
        <f>"2/57"</f>
        <v>2/57</v>
      </c>
      <c r="F8" s="349" t="s">
        <v>665</v>
      </c>
      <c r="G8" s="211" t="str">
        <f>IFERROR(VLOOKUP(F8,[1]Реестр!A:K,2,0),"")</f>
        <v/>
      </c>
      <c r="H8" s="210">
        <v>210</v>
      </c>
      <c r="I8" s="207">
        <v>38.270000000000003</v>
      </c>
      <c r="J8" s="201" t="str">
        <f>IFERROR(VLOOKUP(O8,Реестр!#REF!,3,0)*Q8/P8,"")</f>
        <v/>
      </c>
    </row>
    <row r="9" spans="1:12" ht="18" customHeight="1" x14ac:dyDescent="0.3">
      <c r="A9" s="209">
        <f>IFERROR(VLOOKUP(F9,[1]Реестр!A:K,3,0)*H9/G9,"")</f>
        <v>0.15</v>
      </c>
      <c r="B9" s="209">
        <f>IFERROR(VLOOKUP(F9,[1]Реестр!A:K,4,0)*H9/G9,"")</f>
        <v>0.09</v>
      </c>
      <c r="C9" s="209">
        <f>IFERROR(VLOOKUP(F9,[1]Реестр!A:K,5,0)*H9/G9,"")</f>
        <v>8.58</v>
      </c>
      <c r="D9" s="209">
        <f>IFERROR(VLOOKUP(F9,[1]Реестр!A:K,6,0)*H9/G9,"")</f>
        <v>34.799999999999997</v>
      </c>
      <c r="E9" s="210" t="str">
        <f>IFERROR(VLOOKUP(F9,[1]Реестр!A:K,11,0),"")</f>
        <v>12*2</v>
      </c>
      <c r="F9" s="356" t="s">
        <v>371</v>
      </c>
      <c r="G9" s="211" t="str">
        <f>IFERROR(VLOOKUP(F9,[1]Реестр!A:K,2,0),"")</f>
        <v>100</v>
      </c>
      <c r="H9" s="210">
        <v>30</v>
      </c>
      <c r="I9" s="207">
        <v>17.559999999999999</v>
      </c>
      <c r="J9" s="201" t="str">
        <f>IFERROR(VLOOKUP(O9,Реестр!#REF!,3,0)*Q9/P9,"")</f>
        <v/>
      </c>
    </row>
    <row r="10" spans="1:12" ht="18" customHeight="1" x14ac:dyDescent="0.3">
      <c r="A10" s="209">
        <f>IFERROR(VLOOKUP(F10,[1]Реестр!A:K,3,0)*H10/G10,"")</f>
        <v>1.4</v>
      </c>
      <c r="B10" s="209">
        <f>IFERROR(VLOOKUP(F10,[1]Реестр!A:K,4,0)*H10/G10,"")</f>
        <v>1.1000000000000001</v>
      </c>
      <c r="C10" s="209">
        <f>IFERROR(VLOOKUP(F10,[1]Реестр!A:K,5,0)*H10/G10,"")</f>
        <v>16.600000000000001</v>
      </c>
      <c r="D10" s="209">
        <f>IFERROR(VLOOKUP(F10,[1]Реестр!A:K,6,0)*H10/G10,"")</f>
        <v>79</v>
      </c>
      <c r="E10" s="349" t="str">
        <f>"11/59"</f>
        <v>11/59</v>
      </c>
      <c r="F10" s="349" t="s">
        <v>357</v>
      </c>
      <c r="G10" s="211" t="str">
        <f>IFERROR(VLOOKUP(F10,[1]Реестр!A:K,2,0),"")</f>
        <v>200</v>
      </c>
      <c r="H10" s="206">
        <v>200</v>
      </c>
      <c r="I10" s="207">
        <v>24.16</v>
      </c>
      <c r="J10" s="201" t="str">
        <f>IFERROR(VLOOKUP(O10,Реестр!#REF!,3,0)*Q10/P10,"")</f>
        <v/>
      </c>
    </row>
    <row r="11" spans="1:12" ht="18.75" x14ac:dyDescent="0.3">
      <c r="A11" s="209">
        <f>IFERROR(VLOOKUP(F11,[1]Реестр!A:K,3,0)*H11/G11,"")</f>
        <v>1.32</v>
      </c>
      <c r="B11" s="209">
        <f>IFERROR(VLOOKUP(F11,[1]Реестр!A:K,4,0)*H11/G11,"")</f>
        <v>0.24</v>
      </c>
      <c r="C11" s="209">
        <f>IFERROR(VLOOKUP(F11,[1]Реестр!A:K,5,0)*H11/G11,"")</f>
        <v>6.68</v>
      </c>
      <c r="D11" s="209">
        <f>IFERROR(VLOOKUP(F11,[1]Реестр!A:K,6,0)*H11/G11,"")</f>
        <v>38.6</v>
      </c>
      <c r="E11" s="210" t="str">
        <f>IFERROR(VLOOKUP(F11,[1]Реестр!A:K,11,0),"")</f>
        <v>-</v>
      </c>
      <c r="F11" s="217" t="s">
        <v>65</v>
      </c>
      <c r="G11" s="211" t="str">
        <f>IFERROR(VLOOKUP(F11,[1]Реестр!A:K,2,0),"")</f>
        <v>100</v>
      </c>
      <c r="H11" s="206">
        <v>20</v>
      </c>
      <c r="I11" s="207">
        <v>1.8</v>
      </c>
      <c r="J11" s="206"/>
      <c r="K11" s="208"/>
    </row>
    <row r="12" spans="1:12" ht="18" customHeight="1" x14ac:dyDescent="0.3">
      <c r="A12" s="464" t="s">
        <v>16</v>
      </c>
      <c r="B12" s="464"/>
      <c r="C12" s="464"/>
      <c r="D12" s="464"/>
      <c r="E12" s="464"/>
      <c r="F12" s="464"/>
      <c r="G12" s="205"/>
      <c r="H12" s="206"/>
      <c r="I12" s="207">
        <f>SUM(I7:I11)</f>
        <v>108.64</v>
      </c>
      <c r="J12" s="206">
        <v>108.64</v>
      </c>
      <c r="K12" s="208">
        <f>I12-J12</f>
        <v>0</v>
      </c>
      <c r="L12" s="208"/>
    </row>
    <row r="13" spans="1:12" ht="18" hidden="1" customHeight="1" x14ac:dyDescent="0.3">
      <c r="A13" s="462" t="s">
        <v>17</v>
      </c>
      <c r="B13" s="462"/>
      <c r="C13" s="462"/>
      <c r="D13" s="462"/>
      <c r="E13" s="462"/>
      <c r="F13" s="462"/>
      <c r="G13" s="462"/>
      <c r="H13" s="462"/>
      <c r="I13" s="462"/>
      <c r="J13" s="212"/>
    </row>
    <row r="14" spans="1:12" ht="30" hidden="1" x14ac:dyDescent="0.3">
      <c r="A14" s="367">
        <v>1.03</v>
      </c>
      <c r="B14" s="353">
        <v>4.7699999999999996</v>
      </c>
      <c r="C14" s="353">
        <v>6.38</v>
      </c>
      <c r="D14" s="353">
        <v>68.989999999999995</v>
      </c>
      <c r="E14" s="357" t="str">
        <f>"7/80"</f>
        <v>7/80</v>
      </c>
      <c r="F14" s="228" t="s">
        <v>678</v>
      </c>
      <c r="G14" s="211" t="str">
        <f>IFERROR(VLOOKUP(F14,[2]Реестр!A:K,2,0),"")</f>
        <v/>
      </c>
      <c r="H14" s="210">
        <v>80</v>
      </c>
      <c r="I14" s="230">
        <v>21.73</v>
      </c>
      <c r="J14" s="201" t="str">
        <f>IFERROR(VLOOKUP(O14,Реестр!#REF!,3,0)*Q14/P14,"")</f>
        <v/>
      </c>
    </row>
    <row r="15" spans="1:12" ht="18" hidden="1" customHeight="1" x14ac:dyDescent="0.3">
      <c r="A15" s="263">
        <v>5.55</v>
      </c>
      <c r="B15" s="263">
        <v>7.8</v>
      </c>
      <c r="C15" s="263">
        <v>15.95</v>
      </c>
      <c r="D15" s="263">
        <v>199.78905478333331</v>
      </c>
      <c r="E15" s="350" t="str">
        <f>"6/70"</f>
        <v>6/70</v>
      </c>
      <c r="F15" s="350" t="s">
        <v>220</v>
      </c>
      <c r="G15" s="211" t="str">
        <f>IFERROR(VLOOKUP(F15,[2]Реестр!A:K,2,0),"")</f>
        <v>300</v>
      </c>
      <c r="H15" s="206">
        <v>250</v>
      </c>
      <c r="I15" s="207">
        <v>42</v>
      </c>
      <c r="J15" s="201" t="str">
        <f>IFERROR(VLOOKUP(O15,Реестр!#REF!,3,0)*Q15/P15,"")</f>
        <v/>
      </c>
    </row>
    <row r="16" spans="1:12" ht="18" hidden="1" customHeight="1" x14ac:dyDescent="0.3">
      <c r="A16" s="263">
        <v>16.579999999999998</v>
      </c>
      <c r="B16" s="263">
        <v>19.5</v>
      </c>
      <c r="C16" s="263">
        <v>68.38</v>
      </c>
      <c r="D16" s="263">
        <v>327.07</v>
      </c>
      <c r="E16" s="349" t="str">
        <f>"8/35"</f>
        <v>8/35</v>
      </c>
      <c r="F16" s="349" t="s">
        <v>549</v>
      </c>
      <c r="G16" s="211" t="str">
        <f>IFERROR(VLOOKUP(F16,[2]Реестр!A:K,2,0),"")</f>
        <v/>
      </c>
      <c r="H16" s="206">
        <v>200</v>
      </c>
      <c r="I16" s="206">
        <v>87.64</v>
      </c>
      <c r="J16" s="201" t="str">
        <f>IFERROR(VLOOKUP(O16,Реестр!#REF!,3,0)*Q16/P16,"")</f>
        <v/>
      </c>
    </row>
    <row r="17" spans="1:12" ht="18" hidden="1" customHeight="1" x14ac:dyDescent="0.3">
      <c r="A17" s="263">
        <v>0.14000000000000001</v>
      </c>
      <c r="B17" s="263">
        <v>0.1</v>
      </c>
      <c r="C17" s="263">
        <v>1.5</v>
      </c>
      <c r="D17" s="263">
        <v>83.962620000000015</v>
      </c>
      <c r="E17" s="349" t="str">
        <f>"11/1"</f>
        <v>11/1</v>
      </c>
      <c r="F17" s="349" t="s">
        <v>317</v>
      </c>
      <c r="G17" s="211">
        <f>IFERROR(VLOOKUP(F17,[2]Реестр!A:K,2,0),"")</f>
        <v>200</v>
      </c>
      <c r="H17" s="206">
        <v>200</v>
      </c>
      <c r="I17" s="207">
        <v>4.38</v>
      </c>
      <c r="J17" s="201"/>
    </row>
    <row r="18" spans="1:12" ht="18" hidden="1" customHeight="1" x14ac:dyDescent="0.3">
      <c r="A18" s="209">
        <v>2.64</v>
      </c>
      <c r="B18" s="209">
        <v>0.24</v>
      </c>
      <c r="C18" s="209">
        <v>18.72</v>
      </c>
      <c r="D18" s="209">
        <v>89.6</v>
      </c>
      <c r="E18" s="210" t="s">
        <v>471</v>
      </c>
      <c r="F18" s="217" t="s">
        <v>66</v>
      </c>
      <c r="G18" s="211" t="str">
        <f>IFERROR(VLOOKUP(F18,[2]Реестр!A:K,2,0),"")</f>
        <v>100</v>
      </c>
      <c r="H18" s="206">
        <v>40</v>
      </c>
      <c r="I18" s="207">
        <v>3.6</v>
      </c>
      <c r="J18" s="201" t="str">
        <f>IFERROR(VLOOKUP(O18,Реестр!#REF!,3,0)*Q18/P18,"")</f>
        <v/>
      </c>
    </row>
    <row r="19" spans="1:12" ht="18" hidden="1" customHeight="1" x14ac:dyDescent="0.3">
      <c r="A19" s="209">
        <v>2.64</v>
      </c>
      <c r="B19" s="209">
        <v>0.48</v>
      </c>
      <c r="C19" s="209">
        <v>13.36</v>
      </c>
      <c r="D19" s="209">
        <v>77.2</v>
      </c>
      <c r="E19" s="210" t="s">
        <v>471</v>
      </c>
      <c r="F19" s="217" t="s">
        <v>65</v>
      </c>
      <c r="G19" s="211" t="str">
        <f>IFERROR(VLOOKUP(F19,[2]Реестр!A:K,2,0),"")</f>
        <v>100</v>
      </c>
      <c r="H19" s="206">
        <v>40</v>
      </c>
      <c r="I19" s="207">
        <v>3.6</v>
      </c>
      <c r="J19" s="201" t="str">
        <f>IFERROR(VLOOKUP(O19,Реестр!#REF!,3,0)*Q19/P19,"")</f>
        <v/>
      </c>
    </row>
    <row r="20" spans="1:12" ht="18" hidden="1" customHeight="1" x14ac:dyDescent="0.3">
      <c r="A20" s="209"/>
      <c r="B20" s="209"/>
      <c r="C20" s="209"/>
      <c r="D20" s="209"/>
      <c r="E20" s="218"/>
      <c r="F20" s="217"/>
      <c r="G20" s="211"/>
      <c r="H20" s="206"/>
      <c r="I20" s="207"/>
      <c r="J20" s="201"/>
    </row>
    <row r="21" spans="1:12" ht="18.75" hidden="1" x14ac:dyDescent="0.3">
      <c r="A21" s="464" t="s">
        <v>16</v>
      </c>
      <c r="B21" s="464"/>
      <c r="C21" s="464"/>
      <c r="D21" s="464"/>
      <c r="E21" s="464"/>
      <c r="F21" s="464"/>
      <c r="G21" s="205"/>
      <c r="H21" s="206"/>
      <c r="I21" s="207">
        <f>SUM(I14:I20)</f>
        <v>162.94999999999999</v>
      </c>
      <c r="J21" s="206">
        <v>162.94999999999999</v>
      </c>
      <c r="K21" s="208">
        <f>J21-I21</f>
        <v>0</v>
      </c>
    </row>
    <row r="22" spans="1:12" ht="18.75" x14ac:dyDescent="0.3">
      <c r="A22" s="462" t="s">
        <v>500</v>
      </c>
      <c r="B22" s="462"/>
      <c r="C22" s="462"/>
      <c r="D22" s="462"/>
      <c r="E22" s="462"/>
      <c r="F22" s="462"/>
      <c r="G22" s="462"/>
      <c r="H22" s="462"/>
      <c r="I22" s="462"/>
      <c r="J22" s="212"/>
    </row>
    <row r="23" spans="1:12" ht="18.75" x14ac:dyDescent="0.25">
      <c r="A23" s="369">
        <v>0.24</v>
      </c>
      <c r="B23" s="369">
        <v>0.03</v>
      </c>
      <c r="C23" s="369">
        <v>0.74</v>
      </c>
      <c r="D23" s="369">
        <v>4.2</v>
      </c>
      <c r="E23" s="370" t="str">
        <f>"7/10"</f>
        <v>7/10</v>
      </c>
      <c r="F23" s="265" t="s">
        <v>679</v>
      </c>
      <c r="G23" s="211" t="str">
        <f>IFERROR(VLOOKUP(F23,[1]Реестр!A:K,2,0),"")</f>
        <v/>
      </c>
      <c r="H23" s="210">
        <v>30</v>
      </c>
      <c r="I23" s="230">
        <v>7.43</v>
      </c>
      <c r="J23" s="212"/>
    </row>
    <row r="24" spans="1:12" ht="18.75" x14ac:dyDescent="0.3">
      <c r="A24" s="348">
        <v>19.440000000000001</v>
      </c>
      <c r="B24" s="348">
        <v>21.37</v>
      </c>
      <c r="C24" s="348">
        <v>55.36</v>
      </c>
      <c r="D24" s="348">
        <v>508.5</v>
      </c>
      <c r="E24" s="349" t="str">
        <f>"8/35"</f>
        <v>8/35</v>
      </c>
      <c r="F24" s="355" t="s">
        <v>671</v>
      </c>
      <c r="G24" s="211" t="str">
        <f>IFERROR(VLOOKUP(F24,[2]Реестр!A:K,2,0),"")</f>
        <v/>
      </c>
      <c r="H24" s="206">
        <v>250</v>
      </c>
      <c r="I24" s="206">
        <v>109.55</v>
      </c>
      <c r="J24" s="201" t="str">
        <f>IFERROR(VLOOKUP(O24,Реестр!#REF!,3,0)*Q24/P24,"")</f>
        <v/>
      </c>
    </row>
    <row r="25" spans="1:12" ht="18.75" x14ac:dyDescent="0.3">
      <c r="A25" s="263">
        <v>0.14000000000000001</v>
      </c>
      <c r="B25" s="263">
        <v>0.1</v>
      </c>
      <c r="C25" s="263">
        <v>1.5</v>
      </c>
      <c r="D25" s="263">
        <v>83.962620000000015</v>
      </c>
      <c r="E25" s="349" t="str">
        <f>"11/1"</f>
        <v>11/1</v>
      </c>
      <c r="F25" s="349" t="s">
        <v>317</v>
      </c>
      <c r="G25" s="211">
        <f>IFERROR(VLOOKUP(F25,[2]Реестр!A:K,2,0),"")</f>
        <v>200</v>
      </c>
      <c r="H25" s="206">
        <v>200</v>
      </c>
      <c r="I25" s="207">
        <v>4.38</v>
      </c>
      <c r="J25" s="201"/>
    </row>
    <row r="26" spans="1:12" ht="18.75" x14ac:dyDescent="0.3">
      <c r="A26" s="209">
        <v>2.64</v>
      </c>
      <c r="B26" s="209">
        <v>0.24</v>
      </c>
      <c r="C26" s="209">
        <v>18.72</v>
      </c>
      <c r="D26" s="209">
        <v>89.6</v>
      </c>
      <c r="E26" s="210" t="s">
        <v>471</v>
      </c>
      <c r="F26" s="217" t="s">
        <v>66</v>
      </c>
      <c r="G26" s="211" t="str">
        <f>IFERROR(VLOOKUP(F26,[2]Реестр!A:K,2,0),"")</f>
        <v>100</v>
      </c>
      <c r="H26" s="206">
        <v>40</v>
      </c>
      <c r="I26" s="207">
        <v>3.6</v>
      </c>
      <c r="J26" s="201" t="str">
        <f>IFERROR(VLOOKUP(O26,Реестр!#REF!,3,0)*Q26/P26,"")</f>
        <v/>
      </c>
    </row>
    <row r="27" spans="1:12" ht="18.75" x14ac:dyDescent="0.3">
      <c r="A27" s="209">
        <v>2.64</v>
      </c>
      <c r="B27" s="209">
        <v>0.48</v>
      </c>
      <c r="C27" s="209">
        <v>13.36</v>
      </c>
      <c r="D27" s="209">
        <v>77.2</v>
      </c>
      <c r="E27" s="210" t="s">
        <v>471</v>
      </c>
      <c r="F27" s="217" t="s">
        <v>65</v>
      </c>
      <c r="G27" s="211" t="str">
        <f>IFERROR(VLOOKUP(F27,[2]Реестр!A:K,2,0),"")</f>
        <v>100</v>
      </c>
      <c r="H27" s="206">
        <v>40</v>
      </c>
      <c r="I27" s="207">
        <v>3.6</v>
      </c>
      <c r="J27" s="201"/>
    </row>
    <row r="28" spans="1:12" ht="18.75" hidden="1" x14ac:dyDescent="0.3">
      <c r="A28" s="209"/>
      <c r="B28" s="209"/>
      <c r="C28" s="209"/>
      <c r="D28" s="209"/>
      <c r="E28" s="210"/>
      <c r="F28" s="217"/>
      <c r="G28" s="211"/>
      <c r="H28" s="206"/>
      <c r="I28" s="207"/>
      <c r="J28" s="201"/>
    </row>
    <row r="29" spans="1:12" ht="18.75" x14ac:dyDescent="0.3">
      <c r="A29" s="453" t="s">
        <v>16</v>
      </c>
      <c r="B29" s="454"/>
      <c r="C29" s="454"/>
      <c r="D29" s="454"/>
      <c r="E29" s="454"/>
      <c r="F29" s="455"/>
      <c r="G29" s="205"/>
      <c r="H29" s="206"/>
      <c r="I29" s="207">
        <f>SUM(I23:I28)</f>
        <v>128.55999999999997</v>
      </c>
      <c r="J29" s="206">
        <v>128.56</v>
      </c>
      <c r="K29" s="208">
        <f>I29-J29</f>
        <v>0</v>
      </c>
      <c r="L29" s="208"/>
    </row>
    <row r="30" spans="1:12" ht="18.75" hidden="1" x14ac:dyDescent="0.3">
      <c r="A30" s="462" t="s">
        <v>501</v>
      </c>
      <c r="B30" s="462"/>
      <c r="C30" s="462"/>
      <c r="D30" s="462"/>
      <c r="E30" s="462"/>
      <c r="F30" s="462"/>
      <c r="G30" s="462"/>
      <c r="H30" s="462"/>
      <c r="I30" s="462"/>
      <c r="J30" s="201"/>
    </row>
    <row r="31" spans="1:12" ht="18.75" hidden="1" x14ac:dyDescent="0.3">
      <c r="A31" s="368">
        <v>1.29</v>
      </c>
      <c r="B31" s="368">
        <v>5.97</v>
      </c>
      <c r="C31" s="368">
        <v>7.97</v>
      </c>
      <c r="D31" s="368">
        <v>86.23</v>
      </c>
      <c r="E31" s="357" t="str">
        <f>"7/80"</f>
        <v>7/80</v>
      </c>
      <c r="F31" s="228" t="s">
        <v>680</v>
      </c>
      <c r="G31" s="211" t="str">
        <f>IFERROR(VLOOKUP(F31,[2]Реестр!A:K,2,0),"")</f>
        <v/>
      </c>
      <c r="H31" s="210">
        <v>100</v>
      </c>
      <c r="I31" s="230">
        <v>27.91</v>
      </c>
      <c r="J31" s="201"/>
    </row>
    <row r="32" spans="1:12" ht="18.75" hidden="1" x14ac:dyDescent="0.3">
      <c r="A32" s="209">
        <v>8.9166666666666661</v>
      </c>
      <c r="B32" s="209">
        <v>7.75</v>
      </c>
      <c r="C32" s="209">
        <v>19.5</v>
      </c>
      <c r="D32" s="209">
        <v>185</v>
      </c>
      <c r="E32" s="210" t="s">
        <v>213</v>
      </c>
      <c r="F32" s="356" t="s">
        <v>212</v>
      </c>
      <c r="G32" s="211" t="str">
        <f>IFERROR(VLOOKUP(F32,[2]Реестр!A:K,2,0),"")</f>
        <v>300</v>
      </c>
      <c r="H32" s="206">
        <v>250</v>
      </c>
      <c r="I32" s="207">
        <v>42</v>
      </c>
      <c r="J32" s="206"/>
      <c r="K32" s="208">
        <f>I38-J32</f>
        <v>192.83999999999997</v>
      </c>
    </row>
    <row r="33" spans="1:12" ht="18.75" hidden="1" x14ac:dyDescent="0.3">
      <c r="A33" s="348">
        <v>19.440000000000001</v>
      </c>
      <c r="B33" s="348">
        <v>21.37</v>
      </c>
      <c r="C33" s="348">
        <v>55.36</v>
      </c>
      <c r="D33" s="348">
        <v>508.5</v>
      </c>
      <c r="E33" s="349" t="str">
        <f>"8/35"</f>
        <v>8/35</v>
      </c>
      <c r="F33" s="349" t="s">
        <v>549</v>
      </c>
      <c r="G33" s="211" t="str">
        <f>IFERROR(VLOOKUP(F33,[2]Реестр!A:K,2,0),"")</f>
        <v/>
      </c>
      <c r="H33" s="206">
        <v>250</v>
      </c>
      <c r="I33" s="206">
        <v>109.55</v>
      </c>
      <c r="J33" s="212"/>
    </row>
    <row r="34" spans="1:12" ht="18.75" hidden="1" x14ac:dyDescent="0.3">
      <c r="A34" s="263">
        <v>0.14000000000000001</v>
      </c>
      <c r="B34" s="263">
        <v>0.1</v>
      </c>
      <c r="C34" s="263">
        <v>1.5</v>
      </c>
      <c r="D34" s="263">
        <v>83.962620000000015</v>
      </c>
      <c r="E34" s="349" t="str">
        <f>"11/1"</f>
        <v>11/1</v>
      </c>
      <c r="F34" s="349" t="s">
        <v>317</v>
      </c>
      <c r="G34" s="211">
        <f>IFERROR(VLOOKUP(F34,[2]Реестр!A:K,2,0),"")</f>
        <v>200</v>
      </c>
      <c r="H34" s="206">
        <v>200</v>
      </c>
      <c r="I34" s="207">
        <v>4.38</v>
      </c>
      <c r="J34" s="212"/>
    </row>
    <row r="35" spans="1:12" ht="18.75" hidden="1" x14ac:dyDescent="0.3">
      <c r="A35" s="209">
        <v>3.3</v>
      </c>
      <c r="B35" s="209">
        <v>0.3</v>
      </c>
      <c r="C35" s="209">
        <v>23.4</v>
      </c>
      <c r="D35" s="209">
        <v>112</v>
      </c>
      <c r="E35" s="210" t="s">
        <v>471</v>
      </c>
      <c r="F35" s="217" t="s">
        <v>66</v>
      </c>
      <c r="G35" s="211" t="str">
        <f>IFERROR(VLOOKUP(F35,[2]Реестр!A:K,2,0),"")</f>
        <v>100</v>
      </c>
      <c r="H35" s="206">
        <v>50</v>
      </c>
      <c r="I35" s="207">
        <v>4.5</v>
      </c>
      <c r="J35" s="212"/>
    </row>
    <row r="36" spans="1:12" ht="18.75" hidden="1" x14ac:dyDescent="0.3">
      <c r="A36" s="209">
        <v>3.3</v>
      </c>
      <c r="B36" s="209">
        <v>0.6</v>
      </c>
      <c r="C36" s="209">
        <v>16.7</v>
      </c>
      <c r="D36" s="209">
        <v>96.5</v>
      </c>
      <c r="E36" s="210" t="s">
        <v>471</v>
      </c>
      <c r="F36" s="217" t="s">
        <v>65</v>
      </c>
      <c r="G36" s="211" t="str">
        <f>IFERROR(VLOOKUP(F36,[2]Реестр!A:K,2,0),"")</f>
        <v>100</v>
      </c>
      <c r="H36" s="206">
        <v>50</v>
      </c>
      <c r="I36" s="207">
        <v>4.5</v>
      </c>
      <c r="J36" s="352"/>
    </row>
    <row r="37" spans="1:12" ht="18.75" hidden="1" x14ac:dyDescent="0.3">
      <c r="A37" s="209"/>
      <c r="B37" s="209"/>
      <c r="C37" s="209"/>
      <c r="D37" s="209"/>
      <c r="E37" s="218"/>
      <c r="F37" s="217"/>
      <c r="G37" s="211"/>
      <c r="H37" s="206"/>
      <c r="I37" s="207"/>
      <c r="J37" s="352"/>
    </row>
    <row r="38" spans="1:12" ht="18.75" hidden="1" x14ac:dyDescent="0.3">
      <c r="A38" s="453" t="s">
        <v>16</v>
      </c>
      <c r="B38" s="454"/>
      <c r="C38" s="454"/>
      <c r="D38" s="454"/>
      <c r="E38" s="454"/>
      <c r="F38" s="455"/>
      <c r="G38" s="205"/>
      <c r="H38" s="206"/>
      <c r="I38" s="207">
        <f>SUM(I31:I37)</f>
        <v>192.83999999999997</v>
      </c>
      <c r="J38" s="206">
        <v>192.84</v>
      </c>
      <c r="K38" s="208">
        <f>I38-J38</f>
        <v>0</v>
      </c>
    </row>
    <row r="39" spans="1:12" ht="18.75" x14ac:dyDescent="0.3">
      <c r="A39" s="462" t="s">
        <v>18</v>
      </c>
      <c r="B39" s="462"/>
      <c r="C39" s="462"/>
      <c r="D39" s="462"/>
      <c r="E39" s="462"/>
      <c r="F39" s="462"/>
      <c r="G39" s="462"/>
      <c r="H39" s="462"/>
      <c r="I39" s="462"/>
      <c r="J39" s="352"/>
    </row>
    <row r="40" spans="1:12" ht="18.75" x14ac:dyDescent="0.3">
      <c r="A40" s="462" t="s">
        <v>19</v>
      </c>
      <c r="B40" s="462"/>
      <c r="C40" s="462"/>
      <c r="D40" s="462"/>
      <c r="E40" s="462"/>
      <c r="F40" s="462"/>
      <c r="G40" s="462"/>
      <c r="H40" s="462"/>
      <c r="I40" s="462"/>
      <c r="J40" s="352"/>
    </row>
    <row r="41" spans="1:12" ht="18.75" x14ac:dyDescent="0.3">
      <c r="A41" s="209">
        <f>IFERROR(VLOOKUP(F41,[1]Реестр!A:K,3,0)*H41/G41,"")</f>
        <v>3.84</v>
      </c>
      <c r="B41" s="209">
        <f>IFERROR(VLOOKUP(F41,[1]Реестр!A:K,4,0)*H41/G41,"")</f>
        <v>10.1</v>
      </c>
      <c r="C41" s="209">
        <f>IFERROR(VLOOKUP(F41,[1]Реестр!A:K,5,0)*H41/G41,"")</f>
        <v>9.77</v>
      </c>
      <c r="D41" s="209">
        <f>IFERROR(VLOOKUP(F41,[1]Реестр!A:K,6,0)*H41/G41,"")</f>
        <v>145.38300000000001</v>
      </c>
      <c r="E41" s="210" t="str">
        <f>IFERROR(VLOOKUP(F41,[1]Реестр!A:K,11,0),"")</f>
        <v>1*57</v>
      </c>
      <c r="F41" s="355" t="s">
        <v>106</v>
      </c>
      <c r="G41" s="211" t="str">
        <f>IFERROR(VLOOKUP(F41,[1]Реестр!A:K,2,0),"")</f>
        <v>40</v>
      </c>
      <c r="H41" s="210">
        <v>40</v>
      </c>
      <c r="I41" s="207">
        <v>26.85</v>
      </c>
      <c r="J41" s="352" t="s">
        <v>20</v>
      </c>
    </row>
    <row r="42" spans="1:12" ht="18.75" x14ac:dyDescent="0.3">
      <c r="A42" s="209">
        <v>9.75</v>
      </c>
      <c r="B42" s="209">
        <v>12.14</v>
      </c>
      <c r="C42" s="209">
        <v>36.06</v>
      </c>
      <c r="D42" s="209">
        <v>291.64</v>
      </c>
      <c r="E42" s="349" t="str">
        <f>"2/57"</f>
        <v>2/57</v>
      </c>
      <c r="F42" s="349" t="s">
        <v>665</v>
      </c>
      <c r="G42" s="211" t="str">
        <f>IFERROR(VLOOKUP(F42,[1]Реестр!A:K,2,0),"")</f>
        <v/>
      </c>
      <c r="H42" s="210">
        <v>210</v>
      </c>
      <c r="I42" s="207">
        <v>38.270000000000003</v>
      </c>
      <c r="J42" s="352" t="s">
        <v>537</v>
      </c>
      <c r="K42" s="237"/>
      <c r="L42" s="237"/>
    </row>
    <row r="43" spans="1:12" ht="18.75" x14ac:dyDescent="0.3">
      <c r="A43" s="209">
        <f>IFERROR(VLOOKUP(F43,[1]Реестр!A:K,3,0)*H43/G43,"")</f>
        <v>0.15</v>
      </c>
      <c r="B43" s="209">
        <f>IFERROR(VLOOKUP(F43,[1]Реестр!A:K,4,0)*H43/G43,"")</f>
        <v>0.09</v>
      </c>
      <c r="C43" s="209">
        <f>IFERROR(VLOOKUP(F43,[1]Реестр!A:K,5,0)*H43/G43,"")</f>
        <v>8.58</v>
      </c>
      <c r="D43" s="209">
        <f>IFERROR(VLOOKUP(F43,[1]Реестр!A:K,6,0)*H43/G43,"")</f>
        <v>34.799999999999997</v>
      </c>
      <c r="E43" s="210" t="str">
        <f>IFERROR(VLOOKUP(F43,[1]Реестр!A:K,11,0),"")</f>
        <v>12*2</v>
      </c>
      <c r="F43" s="356" t="s">
        <v>371</v>
      </c>
      <c r="G43" s="211" t="str">
        <f>IFERROR(VLOOKUP(F43,[1]Реестр!A:K,2,0),"")</f>
        <v>100</v>
      </c>
      <c r="H43" s="210">
        <v>30</v>
      </c>
      <c r="I43" s="207">
        <v>17.559999999999999</v>
      </c>
      <c r="J43" s="352" t="s">
        <v>477</v>
      </c>
      <c r="K43" s="237"/>
      <c r="L43" s="237"/>
    </row>
    <row r="44" spans="1:12" ht="18.75" x14ac:dyDescent="0.3">
      <c r="A44" s="209">
        <f>IFERROR(VLOOKUP(F44,[1]Реестр!A:K,3,0)*H44/G44,"")</f>
        <v>1.4</v>
      </c>
      <c r="B44" s="209">
        <f>IFERROR(VLOOKUP(F44,[1]Реестр!A:K,4,0)*H44/G44,"")</f>
        <v>1.1000000000000001</v>
      </c>
      <c r="C44" s="209">
        <f>IFERROR(VLOOKUP(F44,[1]Реестр!A:K,5,0)*H44/G44,"")</f>
        <v>16.600000000000001</v>
      </c>
      <c r="D44" s="209">
        <f>IFERROR(VLOOKUP(F44,[1]Реестр!A:K,6,0)*H44/G44,"")</f>
        <v>79</v>
      </c>
      <c r="E44" s="349" t="str">
        <f>"11/59"</f>
        <v>11/59</v>
      </c>
      <c r="F44" s="349" t="s">
        <v>357</v>
      </c>
      <c r="G44" s="211" t="str">
        <f>IFERROR(VLOOKUP(F44,[1]Реестр!A:K,2,0),"")</f>
        <v>200</v>
      </c>
      <c r="H44" s="206">
        <v>200</v>
      </c>
      <c r="I44" s="207">
        <v>24.16</v>
      </c>
      <c r="J44" s="352" t="s">
        <v>479</v>
      </c>
      <c r="K44" s="237"/>
      <c r="L44" s="237"/>
    </row>
    <row r="45" spans="1:12" ht="18.75" x14ac:dyDescent="0.3">
      <c r="A45" s="209">
        <f>IFERROR(VLOOKUP(F45,[1]Реестр!A:K,3,0)*H45/G45,"")</f>
        <v>1.32</v>
      </c>
      <c r="B45" s="209">
        <f>IFERROR(VLOOKUP(F45,[1]Реестр!A:K,4,0)*H45/G45,"")</f>
        <v>0.24</v>
      </c>
      <c r="C45" s="209">
        <f>IFERROR(VLOOKUP(F45,[1]Реестр!A:K,5,0)*H45/G45,"")</f>
        <v>6.68</v>
      </c>
      <c r="D45" s="209">
        <f>IFERROR(VLOOKUP(F45,[1]Реестр!A:K,6,0)*H45/G45,"")</f>
        <v>38.6</v>
      </c>
      <c r="E45" s="210" t="str">
        <f>IFERROR(VLOOKUP(F45,[1]Реестр!A:K,11,0),"")</f>
        <v>-</v>
      </c>
      <c r="F45" s="217" t="s">
        <v>65</v>
      </c>
      <c r="G45" s="211" t="str">
        <f>IFERROR(VLOOKUP(F45,[1]Реестр!A:K,2,0),"")</f>
        <v>100</v>
      </c>
      <c r="H45" s="206">
        <v>20</v>
      </c>
      <c r="I45" s="207">
        <v>1.8</v>
      </c>
      <c r="J45" s="352" t="s">
        <v>475</v>
      </c>
      <c r="K45" s="238"/>
      <c r="L45" s="237"/>
    </row>
    <row r="46" spans="1:12" ht="18.75" x14ac:dyDescent="0.3">
      <c r="A46" s="465" t="s">
        <v>25</v>
      </c>
      <c r="B46" s="466"/>
      <c r="C46" s="466"/>
      <c r="D46" s="466"/>
      <c r="E46" s="466"/>
      <c r="F46" s="466"/>
      <c r="G46" s="466"/>
      <c r="H46" s="466"/>
      <c r="I46" s="467"/>
      <c r="J46" s="352"/>
    </row>
    <row r="47" spans="1:12" s="234" customFormat="1" ht="30" x14ac:dyDescent="0.25">
      <c r="A47" s="367">
        <v>1.03</v>
      </c>
      <c r="B47" s="353">
        <v>4.7699999999999996</v>
      </c>
      <c r="C47" s="353">
        <v>6.38</v>
      </c>
      <c r="D47" s="353">
        <v>68.989999999999995</v>
      </c>
      <c r="E47" s="357" t="str">
        <f>"7/80"</f>
        <v>7/80</v>
      </c>
      <c r="F47" s="228" t="s">
        <v>678</v>
      </c>
      <c r="G47" s="211" t="str">
        <f>IFERROR(VLOOKUP(F47,[2]Реестр!A:K,2,0),"")</f>
        <v/>
      </c>
      <c r="H47" s="210">
        <v>80</v>
      </c>
      <c r="I47" s="230">
        <v>21.73</v>
      </c>
      <c r="J47" s="239" t="s">
        <v>538</v>
      </c>
    </row>
    <row r="48" spans="1:12" ht="18.75" x14ac:dyDescent="0.3">
      <c r="A48" s="263">
        <v>5.55</v>
      </c>
      <c r="B48" s="263">
        <v>7.8</v>
      </c>
      <c r="C48" s="263">
        <v>15.95</v>
      </c>
      <c r="D48" s="263">
        <v>199.78905478333331</v>
      </c>
      <c r="E48" s="350" t="str">
        <f>"6/70"</f>
        <v>6/70</v>
      </c>
      <c r="F48" s="350" t="s">
        <v>220</v>
      </c>
      <c r="G48" s="211" t="str">
        <f>IFERROR(VLOOKUP(F48,[2]Реестр!A:K,2,0),"")</f>
        <v>300</v>
      </c>
      <c r="H48" s="206">
        <v>250</v>
      </c>
      <c r="I48" s="207">
        <v>42</v>
      </c>
      <c r="J48" s="352" t="s">
        <v>478</v>
      </c>
    </row>
    <row r="49" spans="1:11" ht="18.75" x14ac:dyDescent="0.3">
      <c r="A49" s="263">
        <v>16.579999999999998</v>
      </c>
      <c r="B49" s="263">
        <v>19.5</v>
      </c>
      <c r="C49" s="263">
        <v>68.38</v>
      </c>
      <c r="D49" s="263">
        <v>327.07</v>
      </c>
      <c r="E49" s="349" t="str">
        <f>"8/35"</f>
        <v>8/35</v>
      </c>
      <c r="F49" s="355" t="s">
        <v>671</v>
      </c>
      <c r="G49" s="211" t="str">
        <f>IFERROR(VLOOKUP(F49,[2]Реестр!A:K,2,0),"")</f>
        <v/>
      </c>
      <c r="H49" s="206">
        <v>200</v>
      </c>
      <c r="I49" s="206">
        <v>87.64</v>
      </c>
      <c r="J49" s="352" t="s">
        <v>537</v>
      </c>
    </row>
    <row r="50" spans="1:11" ht="18.75" x14ac:dyDescent="0.3">
      <c r="A50" s="263">
        <v>0.14000000000000001</v>
      </c>
      <c r="B50" s="263">
        <v>0.1</v>
      </c>
      <c r="C50" s="263">
        <v>1.5</v>
      </c>
      <c r="D50" s="263">
        <v>83.962620000000015</v>
      </c>
      <c r="E50" s="349" t="str">
        <f>"11/1"</f>
        <v>11/1</v>
      </c>
      <c r="F50" s="349" t="s">
        <v>317</v>
      </c>
      <c r="G50" s="211">
        <f>IFERROR(VLOOKUP(F50,[2]Реестр!A:K,2,0),"")</f>
        <v>200</v>
      </c>
      <c r="H50" s="206">
        <v>200</v>
      </c>
      <c r="I50" s="207">
        <v>4.38</v>
      </c>
      <c r="J50" s="352" t="s">
        <v>29</v>
      </c>
    </row>
    <row r="51" spans="1:11" ht="18.75" x14ac:dyDescent="0.3">
      <c r="A51" s="209">
        <v>2.64</v>
      </c>
      <c r="B51" s="209">
        <v>0.24</v>
      </c>
      <c r="C51" s="209">
        <v>18.72</v>
      </c>
      <c r="D51" s="209">
        <v>89.6</v>
      </c>
      <c r="E51" s="210" t="s">
        <v>471</v>
      </c>
      <c r="F51" s="217" t="s">
        <v>66</v>
      </c>
      <c r="G51" s="211" t="str">
        <f>IFERROR(VLOOKUP(F51,[2]Реестр!A:K,2,0),"")</f>
        <v>100</v>
      </c>
      <c r="H51" s="206">
        <v>40</v>
      </c>
      <c r="I51" s="207">
        <v>3.6</v>
      </c>
      <c r="J51" s="352" t="s">
        <v>479</v>
      </c>
    </row>
    <row r="52" spans="1:11" ht="18.75" x14ac:dyDescent="0.3">
      <c r="A52" s="209">
        <v>2.64</v>
      </c>
      <c r="B52" s="209">
        <v>0.48</v>
      </c>
      <c r="C52" s="209">
        <v>13.36</v>
      </c>
      <c r="D52" s="209">
        <v>77.2</v>
      </c>
      <c r="E52" s="210" t="s">
        <v>471</v>
      </c>
      <c r="F52" s="217" t="s">
        <v>65</v>
      </c>
      <c r="G52" s="211" t="str">
        <f>IFERROR(VLOOKUP(F52,[2]Реестр!A:K,2,0),"")</f>
        <v>100</v>
      </c>
      <c r="H52" s="206">
        <v>40</v>
      </c>
      <c r="I52" s="207">
        <v>3.6</v>
      </c>
      <c r="J52" s="352" t="s">
        <v>539</v>
      </c>
    </row>
    <row r="53" spans="1:11" ht="18.75" hidden="1" x14ac:dyDescent="0.3">
      <c r="A53" s="209"/>
      <c r="B53" s="209"/>
      <c r="C53" s="209"/>
      <c r="D53" s="209"/>
      <c r="E53" s="218"/>
      <c r="F53" s="217"/>
      <c r="G53" s="211"/>
      <c r="H53" s="206"/>
      <c r="I53" s="207"/>
      <c r="J53" s="352" t="s">
        <v>540</v>
      </c>
    </row>
    <row r="54" spans="1:11" ht="18.75" x14ac:dyDescent="0.3">
      <c r="A54" s="464" t="s">
        <v>16</v>
      </c>
      <c r="B54" s="464"/>
      <c r="C54" s="464"/>
      <c r="D54" s="464"/>
      <c r="E54" s="464"/>
      <c r="F54" s="464"/>
      <c r="G54" s="206"/>
      <c r="H54" s="206"/>
      <c r="I54" s="207">
        <f>SUM(I41:I45,I47:I53)</f>
        <v>271.59000000000003</v>
      </c>
      <c r="J54" s="206">
        <v>271.58999999999997</v>
      </c>
      <c r="K54" s="208">
        <f>I54-J54</f>
        <v>0</v>
      </c>
    </row>
    <row r="55" spans="1:11" ht="18.75" x14ac:dyDescent="0.3">
      <c r="A55" s="465" t="s">
        <v>33</v>
      </c>
      <c r="B55" s="466"/>
      <c r="C55" s="466"/>
      <c r="D55" s="466"/>
      <c r="E55" s="466"/>
      <c r="F55" s="466"/>
      <c r="G55" s="466"/>
      <c r="H55" s="466"/>
      <c r="I55" s="467"/>
      <c r="J55" s="352"/>
    </row>
    <row r="56" spans="1:11" ht="18.75" x14ac:dyDescent="0.3">
      <c r="A56" s="465" t="s">
        <v>19</v>
      </c>
      <c r="B56" s="466"/>
      <c r="C56" s="466"/>
      <c r="D56" s="466"/>
      <c r="E56" s="466"/>
      <c r="F56" s="466"/>
      <c r="G56" s="466"/>
      <c r="H56" s="466"/>
      <c r="I56" s="467"/>
      <c r="J56" s="352"/>
    </row>
    <row r="57" spans="1:11" ht="18.75" x14ac:dyDescent="0.3">
      <c r="A57" s="209">
        <f>IFERROR(VLOOKUP(F57,[1]Реестр!A:K,3,0)*H57/G57,"")</f>
        <v>5.08</v>
      </c>
      <c r="B57" s="209">
        <f>IFERROR(VLOOKUP(F57,[1]Реестр!A:K,4,0)*H57/G57,"")</f>
        <v>11.55</v>
      </c>
      <c r="C57" s="209">
        <f>IFERROR(VLOOKUP(F57,[1]Реестр!A:K,5,0)*H57/G57,"")</f>
        <v>9.9700000000000006</v>
      </c>
      <c r="D57" s="209">
        <f>IFERROR(VLOOKUP(F57,[1]Реестр!A:K,6,0)*H57/G57,"")</f>
        <v>164.15</v>
      </c>
      <c r="E57" s="210" t="str">
        <f>IFERROR(VLOOKUP(F57,[1]Реестр!A:K,11,0),"")</f>
        <v>1*51</v>
      </c>
      <c r="F57" s="356" t="s">
        <v>91</v>
      </c>
      <c r="G57" s="211" t="str">
        <f>IFERROR(VLOOKUP(F57,[1]Реестр!A:K,2,0),"")</f>
        <v>45</v>
      </c>
      <c r="H57" s="206">
        <v>45</v>
      </c>
      <c r="I57" s="207">
        <v>35.799999999999997</v>
      </c>
      <c r="J57" s="352" t="s">
        <v>20</v>
      </c>
    </row>
    <row r="58" spans="1:11" ht="18.75" x14ac:dyDescent="0.3">
      <c r="A58" s="347">
        <v>10.61</v>
      </c>
      <c r="B58" s="347">
        <v>10.17</v>
      </c>
      <c r="C58" s="347">
        <v>47.32</v>
      </c>
      <c r="D58" s="347">
        <v>321.17797790000003</v>
      </c>
      <c r="E58" s="349" t="str">
        <f>"2/57"</f>
        <v>2/57</v>
      </c>
      <c r="F58" s="349" t="s">
        <v>665</v>
      </c>
      <c r="G58" s="211" t="str">
        <f>IFERROR(VLOOKUP(F58,[1]Реестр!A:K,2,0),"")</f>
        <v/>
      </c>
      <c r="H58" s="210">
        <v>250</v>
      </c>
      <c r="I58" s="207">
        <v>41.59</v>
      </c>
      <c r="J58" s="352" t="s">
        <v>537</v>
      </c>
    </row>
    <row r="59" spans="1:11" ht="18.75" x14ac:dyDescent="0.3">
      <c r="A59" s="209">
        <f>IFERROR(VLOOKUP(F59,[1]Реестр!A:K,3,0)*H59/G59,"")</f>
        <v>0.2</v>
      </c>
      <c r="B59" s="209">
        <f>IFERROR(VLOOKUP(F59,[1]Реестр!A:K,4,0)*H59/G59,"")</f>
        <v>0.12</v>
      </c>
      <c r="C59" s="209">
        <f>IFERROR(VLOOKUP(F59,[1]Реестр!A:K,5,0)*H59/G59,"")</f>
        <v>11.44</v>
      </c>
      <c r="D59" s="209">
        <f>IFERROR(VLOOKUP(F59,[1]Реестр!A:K,6,0)*H59/G59,"")</f>
        <v>46.4</v>
      </c>
      <c r="E59" s="210" t="str">
        <f>IFERROR(VLOOKUP(F59,[1]Реестр!A:K,11,0),"")</f>
        <v>12*2</v>
      </c>
      <c r="F59" s="356" t="s">
        <v>371</v>
      </c>
      <c r="G59" s="211" t="str">
        <f>IFERROR(VLOOKUP(F59,[1]Реестр!A:K,2,0),"")</f>
        <v>100</v>
      </c>
      <c r="H59" s="210">
        <v>40</v>
      </c>
      <c r="I59" s="207">
        <v>23.41</v>
      </c>
      <c r="J59" s="352" t="s">
        <v>477</v>
      </c>
    </row>
    <row r="60" spans="1:11" ht="18.75" x14ac:dyDescent="0.3">
      <c r="A60" s="209">
        <f>IFERROR(VLOOKUP(F60,[1]Реестр!A:K,3,0)*H60/G60,"")</f>
        <v>1.4</v>
      </c>
      <c r="B60" s="209">
        <f>IFERROR(VLOOKUP(F60,[1]Реестр!A:K,4,0)*H60/G60,"")</f>
        <v>1.1000000000000001</v>
      </c>
      <c r="C60" s="209">
        <f>IFERROR(VLOOKUP(F60,[1]Реестр!A:K,5,0)*H60/G60,"")</f>
        <v>16.600000000000001</v>
      </c>
      <c r="D60" s="209">
        <f>IFERROR(VLOOKUP(F60,[1]Реестр!A:K,6,0)*H60/G60,"")</f>
        <v>79</v>
      </c>
      <c r="E60" s="349" t="str">
        <f>"11/59"</f>
        <v>11/59</v>
      </c>
      <c r="F60" s="349" t="s">
        <v>357</v>
      </c>
      <c r="G60" s="211" t="str">
        <f>IFERROR(VLOOKUP(F60,[1]Реестр!A:K,2,0),"")</f>
        <v>200</v>
      </c>
      <c r="H60" s="206">
        <v>200</v>
      </c>
      <c r="I60" s="207">
        <v>24.16</v>
      </c>
      <c r="J60" s="352" t="s">
        <v>541</v>
      </c>
      <c r="K60" s="237"/>
    </row>
    <row r="61" spans="1:11" ht="18.75" x14ac:dyDescent="0.3">
      <c r="A61" s="209">
        <f>IFERROR(VLOOKUP(F61,[1]Реестр!A:K,3,0)*H61/G61,"")</f>
        <v>2.64</v>
      </c>
      <c r="B61" s="209">
        <f>IFERROR(VLOOKUP(F61,[1]Реестр!A:K,4,0)*H61/G61,"")</f>
        <v>0.48</v>
      </c>
      <c r="C61" s="209">
        <f>IFERROR(VLOOKUP(F61,[1]Реестр!A:K,5,0)*H61/G61,"")</f>
        <v>13.36</v>
      </c>
      <c r="D61" s="209">
        <f>IFERROR(VLOOKUP(F61,[1]Реестр!A:K,6,0)*H61/G61,"")</f>
        <v>77.2</v>
      </c>
      <c r="E61" s="210" t="str">
        <f>IFERROR(VLOOKUP(F61,[1]Реестр!A:K,11,0),"")</f>
        <v>-</v>
      </c>
      <c r="F61" s="217" t="s">
        <v>65</v>
      </c>
      <c r="G61" s="211" t="str">
        <f>IFERROR(VLOOKUP(F61,[1]Реестр!A:K,2,0),"")</f>
        <v>100</v>
      </c>
      <c r="H61" s="206">
        <v>40</v>
      </c>
      <c r="I61" s="207">
        <v>3.6</v>
      </c>
      <c r="J61" s="352" t="s">
        <v>475</v>
      </c>
      <c r="K61" s="237"/>
    </row>
    <row r="62" spans="1:11" ht="18.75" x14ac:dyDescent="0.3">
      <c r="A62" s="465" t="s">
        <v>25</v>
      </c>
      <c r="B62" s="466"/>
      <c r="C62" s="466"/>
      <c r="D62" s="466"/>
      <c r="E62" s="466"/>
      <c r="F62" s="466"/>
      <c r="G62" s="466"/>
      <c r="H62" s="466"/>
      <c r="I62" s="467"/>
      <c r="J62" s="201" t="str">
        <f>IFERROR(VLOOKUP(O62,Реестр!#REF!,3,0)*Q62/P62,"")</f>
        <v/>
      </c>
      <c r="K62" s="237"/>
    </row>
    <row r="63" spans="1:11" s="234" customFormat="1" ht="18.75" x14ac:dyDescent="0.25">
      <c r="A63" s="368">
        <v>1.29</v>
      </c>
      <c r="B63" s="368">
        <v>5.97</v>
      </c>
      <c r="C63" s="368">
        <v>7.97</v>
      </c>
      <c r="D63" s="368">
        <v>86.23</v>
      </c>
      <c r="E63" s="357" t="str">
        <f>"7/80"</f>
        <v>7/80</v>
      </c>
      <c r="F63" s="228" t="s">
        <v>680</v>
      </c>
      <c r="G63" s="211" t="str">
        <f>IFERROR(VLOOKUP(F63,[2]Реестр!A:K,2,0),"")</f>
        <v/>
      </c>
      <c r="H63" s="210">
        <v>100</v>
      </c>
      <c r="I63" s="230">
        <v>27.91</v>
      </c>
      <c r="J63" s="239" t="s">
        <v>538</v>
      </c>
      <c r="K63" s="240"/>
    </row>
    <row r="64" spans="1:11" ht="18.75" x14ac:dyDescent="0.3">
      <c r="A64" s="263">
        <v>12.44</v>
      </c>
      <c r="B64" s="263">
        <v>7.77</v>
      </c>
      <c r="C64" s="263">
        <v>25.16</v>
      </c>
      <c r="D64" s="263">
        <v>208</v>
      </c>
      <c r="E64" s="267" t="str">
        <f>"6/70"</f>
        <v>6/70</v>
      </c>
      <c r="F64" s="267" t="s">
        <v>220</v>
      </c>
      <c r="G64" s="211" t="str">
        <f>IFERROR(VLOOKUP(F64,[2]Реестр!A:K,2,0),"")</f>
        <v>300</v>
      </c>
      <c r="H64" s="206">
        <v>250</v>
      </c>
      <c r="I64" s="207">
        <v>42</v>
      </c>
      <c r="J64" s="352" t="s">
        <v>478</v>
      </c>
      <c r="K64" s="237"/>
    </row>
    <row r="65" spans="1:12" ht="18.75" x14ac:dyDescent="0.3">
      <c r="A65" s="348">
        <v>19.440000000000001</v>
      </c>
      <c r="B65" s="348">
        <v>21.37</v>
      </c>
      <c r="C65" s="348">
        <v>55.36</v>
      </c>
      <c r="D65" s="348">
        <v>508.5</v>
      </c>
      <c r="E65" s="349" t="str">
        <f>"8/35"</f>
        <v>8/35</v>
      </c>
      <c r="F65" s="355" t="s">
        <v>671</v>
      </c>
      <c r="G65" s="211" t="str">
        <f>IFERROR(VLOOKUP(F65,[2]Реестр!A:K,2,0),"")</f>
        <v/>
      </c>
      <c r="H65" s="206">
        <v>250</v>
      </c>
      <c r="I65" s="206">
        <v>109.55</v>
      </c>
      <c r="J65" s="352" t="s">
        <v>537</v>
      </c>
      <c r="K65" s="237"/>
    </row>
    <row r="66" spans="1:12" ht="18.75" x14ac:dyDescent="0.3">
      <c r="A66" s="263">
        <v>0.14000000000000001</v>
      </c>
      <c r="B66" s="263">
        <v>0.1</v>
      </c>
      <c r="C66" s="263">
        <v>1.5</v>
      </c>
      <c r="D66" s="263">
        <v>83.962620000000015</v>
      </c>
      <c r="E66" s="349" t="str">
        <f>"11/1"</f>
        <v>11/1</v>
      </c>
      <c r="F66" s="349" t="s">
        <v>317</v>
      </c>
      <c r="G66" s="211">
        <f>IFERROR(VLOOKUP(F66,[2]Реестр!A:K,2,0),"")</f>
        <v>200</v>
      </c>
      <c r="H66" s="206">
        <v>200</v>
      </c>
      <c r="I66" s="207">
        <v>4.38</v>
      </c>
      <c r="J66" s="352" t="s">
        <v>29</v>
      </c>
      <c r="K66" s="237"/>
    </row>
    <row r="67" spans="1:12" ht="18.75" x14ac:dyDescent="0.3">
      <c r="A67" s="209">
        <v>3.3</v>
      </c>
      <c r="B67" s="209">
        <v>0.3</v>
      </c>
      <c r="C67" s="209">
        <v>23.4</v>
      </c>
      <c r="D67" s="209">
        <v>112</v>
      </c>
      <c r="E67" s="210" t="s">
        <v>471</v>
      </c>
      <c r="F67" s="217" t="s">
        <v>66</v>
      </c>
      <c r="G67" s="211" t="str">
        <f>IFERROR(VLOOKUP(F67,[2]Реестр!A:K,2,0),"")</f>
        <v>100</v>
      </c>
      <c r="H67" s="206">
        <v>50</v>
      </c>
      <c r="I67" s="207">
        <v>4.5</v>
      </c>
      <c r="J67" s="352" t="s">
        <v>479</v>
      </c>
      <c r="K67" s="208"/>
    </row>
    <row r="68" spans="1:12" ht="18.75" x14ac:dyDescent="0.3">
      <c r="A68" s="209">
        <v>3.3</v>
      </c>
      <c r="B68" s="209">
        <v>0.6</v>
      </c>
      <c r="C68" s="209">
        <v>16.7</v>
      </c>
      <c r="D68" s="209">
        <v>96.5</v>
      </c>
      <c r="E68" s="210" t="s">
        <v>471</v>
      </c>
      <c r="F68" s="217" t="s">
        <v>65</v>
      </c>
      <c r="G68" s="211" t="str">
        <f>IFERROR(VLOOKUP(F68,[2]Реестр!A:K,2,0),"")</f>
        <v>100</v>
      </c>
      <c r="H68" s="206">
        <v>50</v>
      </c>
      <c r="I68" s="207">
        <v>4.5</v>
      </c>
      <c r="J68" s="352" t="s">
        <v>23</v>
      </c>
    </row>
    <row r="69" spans="1:12" ht="18.75" hidden="1" x14ac:dyDescent="0.3">
      <c r="A69" s="209"/>
      <c r="B69" s="209"/>
      <c r="C69" s="209"/>
      <c r="D69" s="209"/>
      <c r="E69" s="218"/>
      <c r="F69" s="217"/>
      <c r="G69" s="211"/>
      <c r="H69" s="206"/>
      <c r="I69" s="207"/>
      <c r="J69" s="352" t="s">
        <v>540</v>
      </c>
    </row>
    <row r="70" spans="1:12" ht="18" customHeight="1" x14ac:dyDescent="0.3">
      <c r="A70" s="464" t="s">
        <v>16</v>
      </c>
      <c r="B70" s="464"/>
      <c r="C70" s="464"/>
      <c r="D70" s="464"/>
      <c r="E70" s="464"/>
      <c r="F70" s="464"/>
      <c r="G70" s="206"/>
      <c r="H70" s="206"/>
      <c r="I70" s="207">
        <f>SUM(I57:I61)+SUM(I63:I69)</f>
        <v>321.39999999999998</v>
      </c>
      <c r="J70" s="201">
        <v>321.39999999999998</v>
      </c>
      <c r="K70" s="208">
        <f>J70-I70</f>
        <v>0</v>
      </c>
    </row>
    <row r="71" spans="1:12" ht="18.75" x14ac:dyDescent="0.3">
      <c r="A71" s="465" t="s">
        <v>34</v>
      </c>
      <c r="B71" s="466"/>
      <c r="C71" s="466"/>
      <c r="D71" s="466"/>
      <c r="E71" s="466"/>
      <c r="F71" s="466"/>
      <c r="G71" s="466"/>
      <c r="H71" s="466"/>
      <c r="I71" s="467"/>
      <c r="J71" s="206"/>
      <c r="K71" s="208"/>
    </row>
    <row r="72" spans="1:12" ht="18.75" x14ac:dyDescent="0.25">
      <c r="A72" s="369">
        <v>0.24</v>
      </c>
      <c r="B72" s="369">
        <v>0.03</v>
      </c>
      <c r="C72" s="369">
        <v>0.74</v>
      </c>
      <c r="D72" s="369">
        <v>4.2</v>
      </c>
      <c r="E72" s="370" t="str">
        <f>"7/10"</f>
        <v>7/10</v>
      </c>
      <c r="F72" s="265" t="s">
        <v>679</v>
      </c>
      <c r="G72" s="211" t="str">
        <f>IFERROR(VLOOKUP(F72,[1]Реестр!A:K,2,0),"")</f>
        <v/>
      </c>
      <c r="H72" s="210">
        <v>30</v>
      </c>
      <c r="I72" s="230">
        <v>7.43</v>
      </c>
    </row>
    <row r="73" spans="1:12" ht="18.75" x14ac:dyDescent="0.3">
      <c r="A73" s="348">
        <v>19.440000000000001</v>
      </c>
      <c r="B73" s="348">
        <v>21.37</v>
      </c>
      <c r="C73" s="348">
        <v>55.36</v>
      </c>
      <c r="D73" s="348">
        <v>508.5</v>
      </c>
      <c r="E73" s="349" t="str">
        <f>"8/35"</f>
        <v>8/35</v>
      </c>
      <c r="F73" s="355" t="s">
        <v>671</v>
      </c>
      <c r="G73" s="211" t="str">
        <f>IFERROR(VLOOKUP(F73,[2]Реестр!A:K,2,0),"")</f>
        <v/>
      </c>
      <c r="H73" s="206">
        <v>250</v>
      </c>
      <c r="I73" s="206">
        <v>109.55</v>
      </c>
    </row>
    <row r="74" spans="1:12" ht="18.75" x14ac:dyDescent="0.3">
      <c r="A74" s="263">
        <v>0.14000000000000001</v>
      </c>
      <c r="B74" s="263">
        <v>0.1</v>
      </c>
      <c r="C74" s="263">
        <v>1.5</v>
      </c>
      <c r="D74" s="263">
        <v>83.962620000000015</v>
      </c>
      <c r="E74" s="349" t="str">
        <f>"11/1"</f>
        <v>11/1</v>
      </c>
      <c r="F74" s="349" t="s">
        <v>317</v>
      </c>
      <c r="G74" s="211">
        <f>IFERROR(VLOOKUP(F74,[2]Реестр!A:K,2,0),"")</f>
        <v>200</v>
      </c>
      <c r="H74" s="206">
        <v>200</v>
      </c>
      <c r="I74" s="207">
        <v>4.38</v>
      </c>
    </row>
    <row r="75" spans="1:12" ht="18.75" x14ac:dyDescent="0.3">
      <c r="A75" s="209">
        <v>2.64</v>
      </c>
      <c r="B75" s="209">
        <v>0.24</v>
      </c>
      <c r="C75" s="209">
        <v>18.72</v>
      </c>
      <c r="D75" s="209">
        <v>89.6</v>
      </c>
      <c r="E75" s="210" t="s">
        <v>471</v>
      </c>
      <c r="F75" s="217" t="s">
        <v>66</v>
      </c>
      <c r="G75" s="211" t="str">
        <f>IFERROR(VLOOKUP(F75,[2]Реестр!A:K,2,0),"")</f>
        <v>100</v>
      </c>
      <c r="H75" s="206">
        <v>40</v>
      </c>
      <c r="I75" s="207">
        <v>3.6</v>
      </c>
    </row>
    <row r="76" spans="1:12" ht="18.75" x14ac:dyDescent="0.3">
      <c r="A76" s="209">
        <v>2.64</v>
      </c>
      <c r="B76" s="209">
        <v>0.48</v>
      </c>
      <c r="C76" s="209">
        <v>13.36</v>
      </c>
      <c r="D76" s="209">
        <v>77.2</v>
      </c>
      <c r="E76" s="210" t="s">
        <v>471</v>
      </c>
      <c r="F76" s="217" t="s">
        <v>65</v>
      </c>
      <c r="G76" s="211" t="str">
        <f>IFERROR(VLOOKUP(F76,[2]Реестр!A:K,2,0),"")</f>
        <v>100</v>
      </c>
      <c r="H76" s="206">
        <v>40</v>
      </c>
      <c r="I76" s="207">
        <v>3.6</v>
      </c>
    </row>
    <row r="77" spans="1:12" ht="18.75" hidden="1" x14ac:dyDescent="0.3">
      <c r="A77" s="209"/>
      <c r="B77" s="209"/>
      <c r="C77" s="209"/>
      <c r="D77" s="209"/>
      <c r="E77" s="210"/>
      <c r="F77" s="217"/>
      <c r="G77" s="211"/>
      <c r="H77" s="206"/>
      <c r="I77" s="207"/>
    </row>
    <row r="78" spans="1:12" ht="18.75" x14ac:dyDescent="0.3">
      <c r="A78" s="453" t="s">
        <v>16</v>
      </c>
      <c r="B78" s="454"/>
      <c r="C78" s="454"/>
      <c r="D78" s="454"/>
      <c r="E78" s="454"/>
      <c r="F78" s="455"/>
      <c r="G78" s="205"/>
      <c r="H78" s="206"/>
      <c r="I78" s="207">
        <f>SUM(I72:I77)</f>
        <v>128.55999999999997</v>
      </c>
      <c r="J78" s="215">
        <v>128.56</v>
      </c>
      <c r="L78" s="208">
        <f>J78-I78</f>
        <v>0</v>
      </c>
    </row>
    <row r="79" spans="1:12" ht="18.75" hidden="1" x14ac:dyDescent="0.25">
      <c r="A79" s="477" t="s">
        <v>35</v>
      </c>
      <c r="B79" s="478"/>
      <c r="C79" s="478"/>
      <c r="D79" s="478"/>
      <c r="E79" s="478"/>
      <c r="F79" s="478"/>
      <c r="G79" s="478"/>
      <c r="H79" s="478"/>
      <c r="I79" s="479"/>
    </row>
    <row r="80" spans="1:12" ht="18.75" hidden="1" x14ac:dyDescent="0.3">
      <c r="A80" s="219">
        <v>7.7</v>
      </c>
      <c r="B80" s="219">
        <v>7.42</v>
      </c>
      <c r="C80" s="219">
        <v>32.090000000000003</v>
      </c>
      <c r="D80" s="219">
        <v>225.88</v>
      </c>
      <c r="E80" s="261" t="s">
        <v>408</v>
      </c>
      <c r="F80" s="356" t="s">
        <v>605</v>
      </c>
      <c r="G80" s="211" t="str">
        <f>IFERROR(VLOOKUP(F80,[2]Реестр!A:K,2,0),"")</f>
        <v/>
      </c>
      <c r="H80" s="206">
        <v>100</v>
      </c>
      <c r="I80" s="207">
        <v>42</v>
      </c>
      <c r="K80" s="208"/>
    </row>
    <row r="81" spans="1:12" ht="18.75" hidden="1" x14ac:dyDescent="0.3">
      <c r="A81" s="453" t="s">
        <v>16</v>
      </c>
      <c r="B81" s="454"/>
      <c r="C81" s="454"/>
      <c r="D81" s="454"/>
      <c r="E81" s="454"/>
      <c r="F81" s="455"/>
      <c r="G81" s="205"/>
      <c r="H81" s="206"/>
      <c r="I81" s="207">
        <f>I80</f>
        <v>42</v>
      </c>
      <c r="J81" s="215">
        <v>42</v>
      </c>
    </row>
    <row r="82" spans="1:12" ht="18.75" x14ac:dyDescent="0.3">
      <c r="A82" s="465" t="s">
        <v>36</v>
      </c>
      <c r="B82" s="466"/>
      <c r="C82" s="466"/>
      <c r="D82" s="466"/>
      <c r="E82" s="466"/>
      <c r="F82" s="466"/>
      <c r="G82" s="466"/>
      <c r="H82" s="466"/>
      <c r="I82" s="467"/>
    </row>
    <row r="83" spans="1:12" ht="18.75" x14ac:dyDescent="0.3">
      <c r="A83" s="263">
        <v>5.55</v>
      </c>
      <c r="B83" s="263">
        <v>7.8</v>
      </c>
      <c r="C83" s="263">
        <v>15.95</v>
      </c>
      <c r="D83" s="263">
        <v>199.78905478333331</v>
      </c>
      <c r="E83" s="350" t="str">
        <f>"6/70"</f>
        <v>6/70</v>
      </c>
      <c r="F83" s="350" t="s">
        <v>220</v>
      </c>
      <c r="G83" s="211" t="str">
        <f>IFERROR(VLOOKUP(F83,[2]Реестр!A:K,2,0),"")</f>
        <v>300</v>
      </c>
      <c r="H83" s="206">
        <v>250</v>
      </c>
      <c r="I83" s="207">
        <v>42</v>
      </c>
    </row>
    <row r="84" spans="1:12" ht="18.75" x14ac:dyDescent="0.3">
      <c r="A84" s="453" t="s">
        <v>16</v>
      </c>
      <c r="B84" s="454"/>
      <c r="C84" s="454"/>
      <c r="D84" s="454"/>
      <c r="E84" s="454"/>
      <c r="F84" s="455"/>
      <c r="G84" s="205"/>
      <c r="H84" s="206"/>
      <c r="I84" s="207">
        <f>SUM(I83:I83)</f>
        <v>42</v>
      </c>
      <c r="J84" s="215">
        <v>27</v>
      </c>
    </row>
    <row r="85" spans="1:12" ht="18.75" x14ac:dyDescent="0.3">
      <c r="A85" s="465" t="s">
        <v>503</v>
      </c>
      <c r="B85" s="466"/>
      <c r="C85" s="466"/>
      <c r="D85" s="466"/>
      <c r="E85" s="466"/>
      <c r="F85" s="466"/>
      <c r="G85" s="466"/>
      <c r="H85" s="466"/>
      <c r="I85" s="467"/>
    </row>
    <row r="86" spans="1:12" s="234" customFormat="1" ht="27" customHeight="1" x14ac:dyDescent="0.25">
      <c r="A86" s="368">
        <v>1.29</v>
      </c>
      <c r="B86" s="368">
        <v>5.97</v>
      </c>
      <c r="C86" s="368">
        <v>7.97</v>
      </c>
      <c r="D86" s="368">
        <v>86.23</v>
      </c>
      <c r="E86" s="357" t="str">
        <f>"7/80"</f>
        <v>7/80</v>
      </c>
      <c r="F86" s="228" t="s">
        <v>680</v>
      </c>
      <c r="G86" s="211" t="str">
        <f>IFERROR(VLOOKUP(F86,[2]Реестр!A:K,2,0),"")</f>
        <v/>
      </c>
      <c r="H86" s="210">
        <v>100</v>
      </c>
      <c r="I86" s="230">
        <v>27.91</v>
      </c>
      <c r="J86" s="268"/>
    </row>
    <row r="87" spans="1:12" ht="18.75" x14ac:dyDescent="0.3">
      <c r="A87" s="263">
        <v>12.44</v>
      </c>
      <c r="B87" s="263">
        <v>7.77</v>
      </c>
      <c r="C87" s="263">
        <v>25.16</v>
      </c>
      <c r="D87" s="263">
        <v>208</v>
      </c>
      <c r="E87" s="267" t="str">
        <f>"6/70"</f>
        <v>6/70</v>
      </c>
      <c r="F87" s="267" t="s">
        <v>220</v>
      </c>
      <c r="G87" s="211" t="str">
        <f>IFERROR(VLOOKUP(F87,[2]Реестр!A:K,2,0),"")</f>
        <v>300</v>
      </c>
      <c r="H87" s="206">
        <v>250</v>
      </c>
      <c r="I87" s="207">
        <v>42</v>
      </c>
    </row>
    <row r="88" spans="1:12" ht="18.75" x14ac:dyDescent="0.3">
      <c r="A88" s="348">
        <v>19.440000000000001</v>
      </c>
      <c r="B88" s="348">
        <v>21.37</v>
      </c>
      <c r="C88" s="348">
        <v>55.36</v>
      </c>
      <c r="D88" s="348">
        <v>508.5</v>
      </c>
      <c r="E88" s="349" t="str">
        <f>"8/35"</f>
        <v>8/35</v>
      </c>
      <c r="F88" s="355" t="s">
        <v>671</v>
      </c>
      <c r="G88" s="211" t="str">
        <f>IFERROR(VLOOKUP(F88,[2]Реестр!A:K,2,0),"")</f>
        <v/>
      </c>
      <c r="H88" s="206">
        <v>250</v>
      </c>
      <c r="I88" s="206">
        <v>109.55</v>
      </c>
    </row>
    <row r="89" spans="1:12" ht="18.75" x14ac:dyDescent="0.3">
      <c r="A89" s="263">
        <v>0.14000000000000001</v>
      </c>
      <c r="B89" s="263">
        <v>0.1</v>
      </c>
      <c r="C89" s="263">
        <v>1.5</v>
      </c>
      <c r="D89" s="263">
        <v>83.962620000000015</v>
      </c>
      <c r="E89" s="349" t="str">
        <f>"11/1"</f>
        <v>11/1</v>
      </c>
      <c r="F89" s="349" t="s">
        <v>317</v>
      </c>
      <c r="G89" s="211">
        <f>IFERROR(VLOOKUP(F89,[2]Реестр!A:K,2,0),"")</f>
        <v>200</v>
      </c>
      <c r="H89" s="206">
        <v>200</v>
      </c>
      <c r="I89" s="207">
        <v>4.38</v>
      </c>
    </row>
    <row r="90" spans="1:12" ht="18.75" x14ac:dyDescent="0.3">
      <c r="A90" s="209">
        <v>3.3</v>
      </c>
      <c r="B90" s="209">
        <v>0.3</v>
      </c>
      <c r="C90" s="209">
        <v>23.4</v>
      </c>
      <c r="D90" s="209">
        <v>112</v>
      </c>
      <c r="E90" s="210" t="s">
        <v>471</v>
      </c>
      <c r="F90" s="217" t="s">
        <v>66</v>
      </c>
      <c r="G90" s="211" t="str">
        <f>IFERROR(VLOOKUP(F90,[2]Реестр!A:K,2,0),"")</f>
        <v>100</v>
      </c>
      <c r="H90" s="206">
        <v>50</v>
      </c>
      <c r="I90" s="207">
        <v>4.5</v>
      </c>
    </row>
    <row r="91" spans="1:12" ht="18.75" x14ac:dyDescent="0.3">
      <c r="A91" s="209">
        <v>3.3</v>
      </c>
      <c r="B91" s="209">
        <v>0.6</v>
      </c>
      <c r="C91" s="209">
        <v>16.7</v>
      </c>
      <c r="D91" s="209">
        <v>96.5</v>
      </c>
      <c r="E91" s="210" t="s">
        <v>471</v>
      </c>
      <c r="F91" s="217" t="s">
        <v>65</v>
      </c>
      <c r="G91" s="211" t="str">
        <f>IFERROR(VLOOKUP(F91,[2]Реестр!A:K,2,0),"")</f>
        <v>100</v>
      </c>
      <c r="H91" s="206">
        <v>50</v>
      </c>
      <c r="I91" s="207">
        <v>4.5</v>
      </c>
    </row>
    <row r="92" spans="1:12" ht="18.75" hidden="1" x14ac:dyDescent="0.3">
      <c r="A92" s="209"/>
      <c r="B92" s="209"/>
      <c r="C92" s="209"/>
      <c r="D92" s="209"/>
      <c r="E92" s="218"/>
      <c r="F92" s="217"/>
      <c r="G92" s="211"/>
      <c r="H92" s="206"/>
      <c r="I92" s="207"/>
      <c r="K92" s="208"/>
    </row>
    <row r="93" spans="1:12" ht="18.75" x14ac:dyDescent="0.3">
      <c r="A93" s="464" t="s">
        <v>16</v>
      </c>
      <c r="B93" s="464"/>
      <c r="C93" s="464"/>
      <c r="D93" s="464"/>
      <c r="E93" s="464"/>
      <c r="F93" s="464"/>
      <c r="G93" s="205"/>
      <c r="H93" s="206"/>
      <c r="I93" s="207">
        <f>SUM(I86:I92)</f>
        <v>192.83999999999997</v>
      </c>
      <c r="J93" s="215">
        <v>192.84</v>
      </c>
      <c r="L93" s="208">
        <f>J93-I93</f>
        <v>0</v>
      </c>
    </row>
    <row r="94" spans="1:12" ht="18.75" hidden="1" x14ac:dyDescent="0.3">
      <c r="A94" s="462" t="s">
        <v>544</v>
      </c>
      <c r="B94" s="462"/>
      <c r="C94" s="462"/>
      <c r="D94" s="462"/>
      <c r="E94" s="462"/>
      <c r="F94" s="462"/>
      <c r="G94" s="462"/>
      <c r="H94" s="462"/>
      <c r="I94" s="462"/>
      <c r="K94" s="208"/>
    </row>
    <row r="95" spans="1:12" ht="18.75" hidden="1" x14ac:dyDescent="0.25">
      <c r="A95" s="209">
        <f>IFERROR(VLOOKUP(F95,[1]Реестр!A:K,3,0)*H95/G95,"")</f>
        <v>5.08</v>
      </c>
      <c r="B95" s="209">
        <f>IFERROR(VLOOKUP(F95,[1]Реестр!A:K,4,0)*H95/G95,"")</f>
        <v>11.55</v>
      </c>
      <c r="C95" s="209">
        <f>IFERROR(VLOOKUP(F95,[1]Реестр!A:K,5,0)*H95/G95,"")</f>
        <v>9.9700000000000006</v>
      </c>
      <c r="D95" s="209">
        <f>IFERROR(VLOOKUP(F95,[1]Реестр!A:K,6,0)*H95/G95,"")</f>
        <v>164.15</v>
      </c>
      <c r="E95" s="210" t="str">
        <f>IFERROR(VLOOKUP(F95,[1]Реестр!A:K,11,0),"")</f>
        <v>1*51</v>
      </c>
      <c r="F95" s="356" t="s">
        <v>91</v>
      </c>
      <c r="G95" s="211" t="str">
        <f>IFERROR(VLOOKUP(F95,[1]Реестр!A:K,2,0),"")</f>
        <v>45</v>
      </c>
      <c r="H95" s="143">
        <v>45</v>
      </c>
      <c r="I95" s="450">
        <v>108.64</v>
      </c>
      <c r="K95" s="208"/>
    </row>
    <row r="96" spans="1:12" ht="33.75" hidden="1" customHeight="1" x14ac:dyDescent="0.25">
      <c r="A96" s="209">
        <f>IFERROR(VLOOKUP(F96,[1]Реестр!A:K,3,0)*H96/G96,"")</f>
        <v>6.3749999999999991</v>
      </c>
      <c r="B96" s="209">
        <f>IFERROR(VLOOKUP(F96,[1]Реестр!A:K,4,0)*H96/G96,"")</f>
        <v>5.7499999999999991</v>
      </c>
      <c r="C96" s="209">
        <f>IFERROR(VLOOKUP(F96,[1]Реестр!A:K,5,0)*H96/G96,"")</f>
        <v>0.375</v>
      </c>
      <c r="D96" s="209">
        <f>IFERROR(VLOOKUP(F96,[1]Реестр!A:K,6,0)*H96/G96,"")</f>
        <v>78.75</v>
      </c>
      <c r="E96" s="210" t="str">
        <f>IFERROR(VLOOKUP(F96,[1]Реестр!A:K,11,0),"")</f>
        <v>4*57</v>
      </c>
      <c r="F96" s="356" t="s">
        <v>162</v>
      </c>
      <c r="G96" s="211" t="str">
        <f>IFERROR(VLOOKUP(F96,[1]Реестр!A:K,2,0),"")</f>
        <v>40</v>
      </c>
      <c r="H96" s="143">
        <v>50</v>
      </c>
      <c r="I96" s="451"/>
      <c r="K96" s="208"/>
    </row>
    <row r="97" spans="1:12" ht="18.75" hidden="1" x14ac:dyDescent="0.25">
      <c r="A97" s="243">
        <v>6.26</v>
      </c>
      <c r="B97" s="243">
        <v>5.9</v>
      </c>
      <c r="C97" s="243">
        <v>28.4</v>
      </c>
      <c r="D97" s="243">
        <v>194.19400152</v>
      </c>
      <c r="E97" s="228" t="str">
        <f>"2/68"</f>
        <v>2/68</v>
      </c>
      <c r="F97" s="228" t="s">
        <v>666</v>
      </c>
      <c r="G97" s="211" t="str">
        <f>IFERROR(VLOOKUP(F97,[1]Реестр!A:K,2,0),"")</f>
        <v/>
      </c>
      <c r="H97" s="143">
        <v>200</v>
      </c>
      <c r="I97" s="451"/>
      <c r="K97" s="208"/>
    </row>
    <row r="98" spans="1:12" ht="30" hidden="1" x14ac:dyDescent="0.25">
      <c r="A98" s="243">
        <v>2.74</v>
      </c>
      <c r="B98" s="243">
        <v>2.2000000000000002</v>
      </c>
      <c r="C98" s="243">
        <v>4.8899999999999997</v>
      </c>
      <c r="D98" s="243">
        <v>49.717531084999983</v>
      </c>
      <c r="E98" s="228" t="str">
        <f>"11/59 (2004 № 692)"</f>
        <v>11/59 (2004 № 692)</v>
      </c>
      <c r="F98" s="228" t="s">
        <v>667</v>
      </c>
      <c r="G98" s="211">
        <f>IFERROR(VLOOKUP(F98,[1]Реестр!A:K,2,0),"")</f>
        <v>200</v>
      </c>
      <c r="H98" s="143" t="str">
        <f>"200"</f>
        <v>200</v>
      </c>
      <c r="I98" s="451"/>
      <c r="K98" s="208"/>
    </row>
    <row r="99" spans="1:12" ht="18.75" hidden="1" x14ac:dyDescent="0.25">
      <c r="A99" s="209">
        <f>IFERROR(VLOOKUP(F99,[1]Реестр!A:K,3,0)*H99/G99,"")</f>
        <v>1.32</v>
      </c>
      <c r="B99" s="209">
        <f>IFERROR(VLOOKUP(F99,[1]Реестр!A:K,4,0)*H99/G99,"")</f>
        <v>0.24</v>
      </c>
      <c r="C99" s="209">
        <f>IFERROR(VLOOKUP(F99,[1]Реестр!A:K,5,0)*H99/G99,"")</f>
        <v>6.68</v>
      </c>
      <c r="D99" s="209">
        <f>IFERROR(VLOOKUP(F99,[1]Реестр!A:K,6,0)*H99/G99,"")</f>
        <v>38.6</v>
      </c>
      <c r="E99" s="210" t="str">
        <f>IFERROR(VLOOKUP(F99,[1]Реестр!A:K,11,0),"")</f>
        <v>-</v>
      </c>
      <c r="F99" s="217" t="s">
        <v>65</v>
      </c>
      <c r="G99" s="211" t="str">
        <f>IFERROR(VLOOKUP(F99,[1]Реестр!A:K,2,0),"")</f>
        <v>100</v>
      </c>
      <c r="H99" s="229" t="str">
        <f>"20"</f>
        <v>20</v>
      </c>
      <c r="I99" s="452"/>
      <c r="K99" s="208"/>
    </row>
    <row r="100" spans="1:12" ht="18.75" hidden="1" x14ac:dyDescent="0.3">
      <c r="A100" s="464" t="s">
        <v>16</v>
      </c>
      <c r="B100" s="464"/>
      <c r="C100" s="464"/>
      <c r="D100" s="464"/>
      <c r="E100" s="464"/>
      <c r="F100" s="464"/>
      <c r="G100" s="205"/>
      <c r="H100" s="206"/>
      <c r="I100" s="207">
        <f>SUM(I95:I99)</f>
        <v>108.64</v>
      </c>
      <c r="K100" s="208"/>
    </row>
    <row r="101" spans="1:12" ht="18.75" x14ac:dyDescent="0.3">
      <c r="A101" s="462" t="s">
        <v>545</v>
      </c>
      <c r="B101" s="462"/>
      <c r="C101" s="462"/>
      <c r="D101" s="462"/>
      <c r="E101" s="462"/>
      <c r="F101" s="462"/>
      <c r="G101" s="462"/>
      <c r="H101" s="462"/>
      <c r="I101" s="462"/>
      <c r="J101" s="215">
        <v>85.2</v>
      </c>
      <c r="K101" s="208"/>
      <c r="L101" s="208">
        <f>J101-I101</f>
        <v>85.2</v>
      </c>
    </row>
    <row r="102" spans="1:12" ht="18.75" x14ac:dyDescent="0.25">
      <c r="A102" s="209">
        <f>IFERROR(VLOOKUP(F102,[1]Реестр!A:K,3,0)*H102/G102,"")</f>
        <v>6.3749999999999991</v>
      </c>
      <c r="B102" s="209">
        <f>IFERROR(VLOOKUP(F102,[1]Реестр!A:K,4,0)*H102/G102,"")</f>
        <v>5.7499999999999991</v>
      </c>
      <c r="C102" s="209">
        <f>IFERROR(VLOOKUP(F102,[1]Реестр!A:K,5,0)*H102/G102,"")</f>
        <v>0.375</v>
      </c>
      <c r="D102" s="209">
        <f>IFERROR(VLOOKUP(F102,[1]Реестр!A:K,6,0)*H102/G102,"")</f>
        <v>78.75</v>
      </c>
      <c r="E102" s="210" t="str">
        <f>IFERROR(VLOOKUP(F102,[1]Реестр!A:K,11,0),"")</f>
        <v>4*57</v>
      </c>
      <c r="F102" s="356" t="s">
        <v>162</v>
      </c>
      <c r="G102" s="211" t="str">
        <f>IFERROR(VLOOKUP(F102,[1]Реестр!A:K,2,0),"")</f>
        <v>40</v>
      </c>
      <c r="H102" s="143">
        <v>50</v>
      </c>
      <c r="I102" s="450">
        <v>108.64</v>
      </c>
      <c r="K102" s="208"/>
    </row>
    <row r="103" spans="1:12" ht="24" customHeight="1" x14ac:dyDescent="0.25">
      <c r="A103" s="243">
        <v>6.03</v>
      </c>
      <c r="B103" s="243">
        <v>12.83</v>
      </c>
      <c r="C103" s="243">
        <v>34.92</v>
      </c>
      <c r="D103" s="243">
        <v>275.69060599999995</v>
      </c>
      <c r="E103" s="228" t="str">
        <f>"2/78"</f>
        <v>2/78</v>
      </c>
      <c r="F103" s="228" t="s">
        <v>668</v>
      </c>
      <c r="G103" s="211" t="str">
        <f>IFERROR(VLOOKUP(F103,[1]Реестр!A:K,2,0),"")</f>
        <v/>
      </c>
      <c r="H103" s="143">
        <v>200</v>
      </c>
      <c r="I103" s="451"/>
      <c r="K103" s="208"/>
    </row>
    <row r="104" spans="1:12" ht="18.75" x14ac:dyDescent="0.25">
      <c r="A104" s="209">
        <f>IFERROR(VLOOKUP(F104,[1]Реестр!A:K,3,0)*H104/G104,"")</f>
        <v>0.17499999999999999</v>
      </c>
      <c r="B104" s="209">
        <f>IFERROR(VLOOKUP(F104,[1]Реестр!A:K,4,0)*H104/G104,"")</f>
        <v>0.105</v>
      </c>
      <c r="C104" s="209">
        <f>IFERROR(VLOOKUP(F104,[1]Реестр!A:K,5,0)*H104/G104,"")</f>
        <v>10.01</v>
      </c>
      <c r="D104" s="209">
        <f>IFERROR(VLOOKUP(F104,[1]Реестр!A:K,6,0)*H104/G104,"")</f>
        <v>40.6</v>
      </c>
      <c r="E104" s="210" t="str">
        <f>IFERROR(VLOOKUP(F104,[1]Реестр!A:K,11,0),"")</f>
        <v>12*2</v>
      </c>
      <c r="F104" s="356" t="s">
        <v>371</v>
      </c>
      <c r="G104" s="211" t="str">
        <f>IFERROR(VLOOKUP(F104,[1]Реестр!A:K,2,0),"")</f>
        <v>100</v>
      </c>
      <c r="H104" s="143">
        <v>35</v>
      </c>
      <c r="I104" s="451"/>
      <c r="K104" s="208"/>
    </row>
    <row r="105" spans="1:12" ht="18.75" x14ac:dyDescent="0.25">
      <c r="A105" s="243">
        <v>0.18</v>
      </c>
      <c r="B105" s="243">
        <v>0.04</v>
      </c>
      <c r="C105" s="243">
        <v>13.75</v>
      </c>
      <c r="D105" s="243">
        <v>53.136642799999997</v>
      </c>
      <c r="E105" s="210" t="s">
        <v>353</v>
      </c>
      <c r="F105" s="228" t="s">
        <v>563</v>
      </c>
      <c r="G105" s="211" t="str">
        <f>IFERROR(VLOOKUP(F105,[1]Реестр!A:K,2,0),"")</f>
        <v/>
      </c>
      <c r="H105" s="143" t="str">
        <f>"200"</f>
        <v>200</v>
      </c>
      <c r="I105" s="451"/>
      <c r="K105" s="208"/>
    </row>
    <row r="106" spans="1:12" ht="18.75" x14ac:dyDescent="0.25">
      <c r="A106" s="209">
        <f>IFERROR(VLOOKUP(F106,[1]Реестр!A:K,3,0)*H106/G106,"")</f>
        <v>1.32</v>
      </c>
      <c r="B106" s="209">
        <f>IFERROR(VLOOKUP(F106,[1]Реестр!A:K,4,0)*H106/G106,"")</f>
        <v>0.24</v>
      </c>
      <c r="C106" s="209">
        <f>IFERROR(VLOOKUP(F106,[1]Реестр!A:K,5,0)*H106/G106,"")</f>
        <v>6.68</v>
      </c>
      <c r="D106" s="209">
        <f>IFERROR(VLOOKUP(F106,[1]Реестр!A:K,6,0)*H106/G106,"")</f>
        <v>38.6</v>
      </c>
      <c r="E106" s="210" t="str">
        <f>IFERROR(VLOOKUP(F106,[1]Реестр!A:K,11,0),"")</f>
        <v>-</v>
      </c>
      <c r="F106" s="217" t="s">
        <v>65</v>
      </c>
      <c r="G106" s="211" t="str">
        <f>IFERROR(VLOOKUP(F106,[1]Реестр!A:K,2,0),"")</f>
        <v>100</v>
      </c>
      <c r="H106" s="229" t="str">
        <f>"20"</f>
        <v>20</v>
      </c>
      <c r="I106" s="451"/>
      <c r="K106" s="208"/>
    </row>
    <row r="107" spans="1:12" ht="18.75" x14ac:dyDescent="0.3">
      <c r="A107" s="209">
        <f>IFERROR(VLOOKUP(F107,[1]Реестр!A:K,3,0)*H107/G107,"")</f>
        <v>1.32</v>
      </c>
      <c r="B107" s="209">
        <f>IFERROR(VLOOKUP(F107,[1]Реестр!A:K,4,0)*H107/G107,"")</f>
        <v>0.12</v>
      </c>
      <c r="C107" s="209">
        <f>IFERROR(VLOOKUP(F107,[1]Реестр!A:K,5,0)*H107/G107,"")</f>
        <v>9.36</v>
      </c>
      <c r="D107" s="209">
        <f>IFERROR(VLOOKUP(F107,[1]Реестр!A:K,6,0)*H107/G107,"")</f>
        <v>44.8</v>
      </c>
      <c r="E107" s="210" t="str">
        <f>IFERROR(VLOOKUP(F107,[1]Реестр!A:K,11,0),"")</f>
        <v>-</v>
      </c>
      <c r="F107" s="217" t="s">
        <v>66</v>
      </c>
      <c r="G107" s="211" t="str">
        <f>IFERROR(VLOOKUP(F107,[1]Реестр!A:K,2,0),"")</f>
        <v>100</v>
      </c>
      <c r="H107" s="206">
        <v>20</v>
      </c>
      <c r="I107" s="452"/>
      <c r="K107" s="208"/>
    </row>
    <row r="108" spans="1:12" ht="18.75" x14ac:dyDescent="0.3">
      <c r="A108" s="464" t="s">
        <v>16</v>
      </c>
      <c r="B108" s="464"/>
      <c r="C108" s="464"/>
      <c r="D108" s="464"/>
      <c r="E108" s="464"/>
      <c r="F108" s="464"/>
      <c r="G108" s="205"/>
      <c r="H108" s="206"/>
      <c r="I108" s="207">
        <f>SUM(I102)</f>
        <v>108.64</v>
      </c>
      <c r="K108" s="208"/>
    </row>
    <row r="109" spans="1:12" ht="18.75" hidden="1" x14ac:dyDescent="0.3">
      <c r="A109" s="462" t="s">
        <v>566</v>
      </c>
      <c r="B109" s="462"/>
      <c r="C109" s="462"/>
      <c r="D109" s="462"/>
      <c r="E109" s="462"/>
      <c r="F109" s="462"/>
      <c r="G109" s="462"/>
      <c r="H109" s="462"/>
      <c r="I109" s="462"/>
      <c r="K109" s="208"/>
    </row>
    <row r="110" spans="1:12" ht="30" hidden="1" x14ac:dyDescent="0.25">
      <c r="A110" s="367">
        <v>1.03</v>
      </c>
      <c r="B110" s="353">
        <v>4.7699999999999996</v>
      </c>
      <c r="C110" s="353">
        <v>6.38</v>
      </c>
      <c r="D110" s="353">
        <v>68.989999999999995</v>
      </c>
      <c r="E110" s="357" t="str">
        <f>"7/80"</f>
        <v>7/80</v>
      </c>
      <c r="F110" s="228" t="s">
        <v>678</v>
      </c>
      <c r="G110" s="211" t="str">
        <f>IFERROR(VLOOKUP(F110,[2]Реестр!A:K,2,0),"")</f>
        <v/>
      </c>
      <c r="H110" s="263" t="s">
        <v>81</v>
      </c>
      <c r="I110" s="450">
        <v>162.94999999999999</v>
      </c>
      <c r="K110" s="208"/>
    </row>
    <row r="111" spans="1:12" ht="30" hidden="1" x14ac:dyDescent="0.25">
      <c r="A111" s="263">
        <v>12.44</v>
      </c>
      <c r="B111" s="263">
        <v>7.77</v>
      </c>
      <c r="C111" s="263">
        <v>25.16</v>
      </c>
      <c r="D111" s="263">
        <v>208</v>
      </c>
      <c r="E111" s="228" t="str">
        <f>"6/57 (2004 № 139)"</f>
        <v>6/57 (2004 № 139)</v>
      </c>
      <c r="F111" s="228" t="s">
        <v>603</v>
      </c>
      <c r="G111" s="211" t="str">
        <f>IFERROR(VLOOKUP(F111,[2]Реестр!A:K,2,0),"")</f>
        <v/>
      </c>
      <c r="H111" s="243" t="str">
        <f>"250"</f>
        <v>250</v>
      </c>
      <c r="I111" s="451"/>
      <c r="K111" s="208"/>
    </row>
    <row r="112" spans="1:12" ht="18.75" hidden="1" x14ac:dyDescent="0.25">
      <c r="A112" s="263">
        <v>16.579999999999998</v>
      </c>
      <c r="B112" s="263">
        <v>19.5</v>
      </c>
      <c r="C112" s="263">
        <v>68.38</v>
      </c>
      <c r="D112" s="263">
        <v>327.07</v>
      </c>
      <c r="E112" s="349" t="str">
        <f>"8/35"</f>
        <v>8/35</v>
      </c>
      <c r="F112" s="349" t="s">
        <v>549</v>
      </c>
      <c r="G112" s="211"/>
      <c r="H112" s="266">
        <v>200</v>
      </c>
      <c r="I112" s="451"/>
      <c r="K112" s="208"/>
    </row>
    <row r="113" spans="1:11" ht="18.75" hidden="1" x14ac:dyDescent="0.25">
      <c r="A113" s="263">
        <v>0.14000000000000001</v>
      </c>
      <c r="B113" s="263">
        <v>0.1</v>
      </c>
      <c r="C113" s="263">
        <v>11</v>
      </c>
      <c r="D113" s="263">
        <v>83.962620000000015</v>
      </c>
      <c r="E113" s="228" t="str">
        <f>"11/73"</f>
        <v>11/73</v>
      </c>
      <c r="F113" s="228" t="s">
        <v>669</v>
      </c>
      <c r="G113" s="211"/>
      <c r="H113" s="263" t="s">
        <v>118</v>
      </c>
      <c r="I113" s="451"/>
      <c r="K113" s="208"/>
    </row>
    <row r="114" spans="1:11" ht="18.75" hidden="1" customHeight="1" x14ac:dyDescent="0.25">
      <c r="A114" s="264">
        <v>2.64</v>
      </c>
      <c r="B114" s="264">
        <v>0.48</v>
      </c>
      <c r="C114" s="264">
        <v>16.68</v>
      </c>
      <c r="D114" s="264">
        <v>77.352000000000004</v>
      </c>
      <c r="E114" s="228" t="str">
        <f>"-"</f>
        <v>-</v>
      </c>
      <c r="F114" s="217" t="s">
        <v>66</v>
      </c>
      <c r="G114" s="211"/>
      <c r="H114" s="264" t="str">
        <f>"40"</f>
        <v>40</v>
      </c>
      <c r="I114" s="451"/>
      <c r="K114" s="208"/>
    </row>
    <row r="115" spans="1:11" ht="18.75" hidden="1" x14ac:dyDescent="0.25">
      <c r="A115" s="264">
        <v>2.64</v>
      </c>
      <c r="B115" s="264">
        <v>0.48</v>
      </c>
      <c r="C115" s="264">
        <v>16.68</v>
      </c>
      <c r="D115" s="264">
        <v>77.352000000000004</v>
      </c>
      <c r="E115" s="265" t="str">
        <f>"-"</f>
        <v>-</v>
      </c>
      <c r="F115" s="217" t="s">
        <v>65</v>
      </c>
      <c r="G115" s="211" t="str">
        <f>IFERROR(VLOOKUP(F115,[2]Реестр!A:K,2,0),"")</f>
        <v>100</v>
      </c>
      <c r="H115" s="264" t="str">
        <f>"40"</f>
        <v>40</v>
      </c>
      <c r="I115" s="451"/>
      <c r="K115" s="208"/>
    </row>
    <row r="116" spans="1:11" ht="18.75" hidden="1" x14ac:dyDescent="0.25">
      <c r="A116" s="241"/>
      <c r="B116" s="241"/>
      <c r="C116" s="241"/>
      <c r="D116" s="241"/>
      <c r="E116" s="265"/>
      <c r="F116" s="217"/>
      <c r="G116" s="211"/>
      <c r="H116" s="269"/>
      <c r="I116" s="451"/>
      <c r="K116" s="208"/>
    </row>
    <row r="117" spans="1:11" ht="18.75" hidden="1" x14ac:dyDescent="0.3">
      <c r="A117" s="464" t="s">
        <v>16</v>
      </c>
      <c r="B117" s="464"/>
      <c r="C117" s="464"/>
      <c r="D117" s="464"/>
      <c r="E117" s="464"/>
      <c r="F117" s="464"/>
      <c r="G117" s="205"/>
      <c r="H117" s="206"/>
      <c r="I117" s="207">
        <f>SUM(I110:I116)</f>
        <v>162.94999999999999</v>
      </c>
      <c r="K117" s="208"/>
    </row>
    <row r="118" spans="1:11" ht="18.75" x14ac:dyDescent="0.3">
      <c r="A118" s="462" t="s">
        <v>550</v>
      </c>
      <c r="B118" s="462"/>
      <c r="C118" s="462"/>
      <c r="D118" s="462"/>
      <c r="E118" s="462"/>
      <c r="F118" s="462"/>
      <c r="G118" s="462"/>
      <c r="H118" s="462"/>
      <c r="I118" s="462"/>
      <c r="K118" s="208"/>
    </row>
    <row r="119" spans="1:11" ht="30" x14ac:dyDescent="0.25">
      <c r="A119" s="367">
        <v>1.03</v>
      </c>
      <c r="B119" s="353">
        <v>4.7699999999999996</v>
      </c>
      <c r="C119" s="353">
        <v>6.38</v>
      </c>
      <c r="D119" s="353">
        <v>68.989999999999995</v>
      </c>
      <c r="E119" s="357" t="str">
        <f>"7/80"</f>
        <v>7/80</v>
      </c>
      <c r="F119" s="228" t="s">
        <v>678</v>
      </c>
      <c r="G119" s="211" t="str">
        <f>IFERROR(VLOOKUP(F119,[2]Реестр!A:K,2,0),"")</f>
        <v/>
      </c>
      <c r="H119" s="210">
        <v>80</v>
      </c>
      <c r="I119" s="450">
        <v>162.94999999999999</v>
      </c>
      <c r="K119" s="208"/>
    </row>
    <row r="120" spans="1:11" ht="18.75" x14ac:dyDescent="0.3">
      <c r="A120" s="263">
        <v>5.55</v>
      </c>
      <c r="B120" s="263">
        <v>12.08</v>
      </c>
      <c r="C120" s="263">
        <v>17.95</v>
      </c>
      <c r="D120" s="263">
        <v>199.78905478333331</v>
      </c>
      <c r="E120" s="227" t="str">
        <f>"6/70-1"</f>
        <v>6/70-1</v>
      </c>
      <c r="F120" s="228" t="s">
        <v>670</v>
      </c>
      <c r="G120" s="211" t="str">
        <f>IFERROR(VLOOKUP(F120,[2]Реестр!A:K,2,0),"")</f>
        <v>300</v>
      </c>
      <c r="H120" s="206">
        <v>250</v>
      </c>
      <c r="I120" s="451"/>
      <c r="K120" s="208"/>
    </row>
    <row r="121" spans="1:11" ht="18.75" x14ac:dyDescent="0.3">
      <c r="A121" s="263">
        <v>16.579999999999998</v>
      </c>
      <c r="B121" s="263">
        <v>19.5</v>
      </c>
      <c r="C121" s="263">
        <v>68.38</v>
      </c>
      <c r="D121" s="263">
        <v>327.07</v>
      </c>
      <c r="E121" s="349" t="str">
        <f>"8/35"</f>
        <v>8/35</v>
      </c>
      <c r="F121" s="349" t="s">
        <v>549</v>
      </c>
      <c r="G121" s="211" t="str">
        <f>IFERROR(VLOOKUP(F121,[2]Реестр!A:K,2,0),"")</f>
        <v/>
      </c>
      <c r="H121" s="206">
        <v>200</v>
      </c>
      <c r="I121" s="451"/>
      <c r="K121" s="208"/>
    </row>
    <row r="122" spans="1:11" ht="18.75" x14ac:dyDescent="0.3">
      <c r="A122" s="263">
        <v>0.14000000000000001</v>
      </c>
      <c r="B122" s="263">
        <v>0.1</v>
      </c>
      <c r="C122" s="263">
        <v>1.5</v>
      </c>
      <c r="D122" s="263">
        <v>83.962620000000015</v>
      </c>
      <c r="E122" s="349" t="str">
        <f>"11/1"</f>
        <v>11/1</v>
      </c>
      <c r="F122" s="349" t="s">
        <v>317</v>
      </c>
      <c r="G122" s="211">
        <f>IFERROR(VLOOKUP(F122,[2]Реестр!A:K,2,0),"")</f>
        <v>200</v>
      </c>
      <c r="H122" s="206">
        <v>200</v>
      </c>
      <c r="I122" s="451"/>
      <c r="K122" s="208"/>
    </row>
    <row r="123" spans="1:11" ht="18.75" x14ac:dyDescent="0.3">
      <c r="A123" s="209">
        <v>2.64</v>
      </c>
      <c r="B123" s="209">
        <v>0.24</v>
      </c>
      <c r="C123" s="209">
        <v>18.72</v>
      </c>
      <c r="D123" s="209">
        <v>89.6</v>
      </c>
      <c r="E123" s="210" t="s">
        <v>471</v>
      </c>
      <c r="F123" s="217" t="s">
        <v>66</v>
      </c>
      <c r="G123" s="211" t="str">
        <f>IFERROR(VLOOKUP(F123,[2]Реестр!A:K,2,0),"")</f>
        <v>100</v>
      </c>
      <c r="H123" s="206">
        <v>40</v>
      </c>
      <c r="I123" s="451"/>
      <c r="K123" s="208"/>
    </row>
    <row r="124" spans="1:11" ht="18.75" x14ac:dyDescent="0.3">
      <c r="A124" s="209">
        <v>2.64</v>
      </c>
      <c r="B124" s="209">
        <v>0.48</v>
      </c>
      <c r="C124" s="209">
        <v>13.36</v>
      </c>
      <c r="D124" s="209">
        <v>77.2</v>
      </c>
      <c r="E124" s="210" t="s">
        <v>471</v>
      </c>
      <c r="F124" s="217" t="s">
        <v>65</v>
      </c>
      <c r="G124" s="211" t="str">
        <f>IFERROR(VLOOKUP(F124,[2]Реестр!A:K,2,0),"")</f>
        <v>100</v>
      </c>
      <c r="H124" s="206">
        <v>40</v>
      </c>
      <c r="I124" s="451"/>
      <c r="K124" s="208"/>
    </row>
    <row r="125" spans="1:11" ht="18.75" hidden="1" x14ac:dyDescent="0.25">
      <c r="A125" s="264"/>
      <c r="B125" s="264"/>
      <c r="C125" s="264"/>
      <c r="D125" s="264"/>
      <c r="E125" s="265"/>
      <c r="F125" s="217"/>
      <c r="G125" s="211"/>
      <c r="H125" s="264"/>
      <c r="I125" s="451"/>
      <c r="K125" s="208"/>
    </row>
    <row r="126" spans="1:11" ht="18.75" x14ac:dyDescent="0.3">
      <c r="A126" s="464" t="s">
        <v>16</v>
      </c>
      <c r="B126" s="464"/>
      <c r="C126" s="464"/>
      <c r="D126" s="464"/>
      <c r="E126" s="464"/>
      <c r="F126" s="464"/>
      <c r="G126" s="205"/>
      <c r="H126" s="206"/>
      <c r="I126" s="207">
        <f>SUM(I119)</f>
        <v>162.94999999999999</v>
      </c>
      <c r="K126" s="208"/>
    </row>
    <row r="127" spans="1:11" ht="18.75" x14ac:dyDescent="0.3">
      <c r="A127" s="465" t="s">
        <v>676</v>
      </c>
      <c r="B127" s="466"/>
      <c r="C127" s="466"/>
      <c r="D127" s="466"/>
      <c r="E127" s="466"/>
      <c r="F127" s="466"/>
      <c r="G127" s="466"/>
      <c r="H127" s="466"/>
      <c r="I127" s="467"/>
      <c r="K127" s="208"/>
    </row>
    <row r="128" spans="1:11" ht="30" x14ac:dyDescent="0.25">
      <c r="A128" s="367">
        <v>1.03</v>
      </c>
      <c r="B128" s="353">
        <v>4.7699999999999996</v>
      </c>
      <c r="C128" s="353">
        <v>6.38</v>
      </c>
      <c r="D128" s="353">
        <v>68.989999999999995</v>
      </c>
      <c r="E128" s="357" t="str">
        <f>"7/80"</f>
        <v>7/80</v>
      </c>
      <c r="F128" s="228" t="s">
        <v>678</v>
      </c>
      <c r="G128" s="211" t="str">
        <f>IFERROR(VLOOKUP(F128,[2]Реестр!A:K,2,0),"")</f>
        <v/>
      </c>
      <c r="H128" s="210">
        <v>80</v>
      </c>
      <c r="I128" s="230">
        <v>21.73</v>
      </c>
      <c r="K128" s="208"/>
    </row>
    <row r="129" spans="1:11" ht="18.75" x14ac:dyDescent="0.3">
      <c r="A129" s="263">
        <v>5.55</v>
      </c>
      <c r="B129" s="263">
        <v>7.8</v>
      </c>
      <c r="C129" s="263">
        <v>15.95</v>
      </c>
      <c r="D129" s="263">
        <v>199.78905478333331</v>
      </c>
      <c r="E129" s="350" t="str">
        <f>"6/70"</f>
        <v>6/70</v>
      </c>
      <c r="F129" s="350" t="s">
        <v>220</v>
      </c>
      <c r="G129" s="211" t="str">
        <f>IFERROR(VLOOKUP(F129,[2]Реестр!A:K,2,0),"")</f>
        <v>300</v>
      </c>
      <c r="H129" s="206">
        <v>250</v>
      </c>
      <c r="I129" s="207">
        <v>42</v>
      </c>
      <c r="K129" s="208"/>
    </row>
    <row r="130" spans="1:11" ht="18.75" x14ac:dyDescent="0.3">
      <c r="A130" s="263">
        <v>16.579999999999998</v>
      </c>
      <c r="B130" s="263">
        <v>19.5</v>
      </c>
      <c r="C130" s="263">
        <v>68.38</v>
      </c>
      <c r="D130" s="263">
        <v>327.07</v>
      </c>
      <c r="E130" s="349" t="str">
        <f>"8/35"</f>
        <v>8/35</v>
      </c>
      <c r="F130" s="355" t="s">
        <v>671</v>
      </c>
      <c r="G130" s="211" t="str">
        <f>IFERROR(VLOOKUP(F130,[2]Реестр!A:K,2,0),"")</f>
        <v/>
      </c>
      <c r="H130" s="206">
        <v>200</v>
      </c>
      <c r="I130" s="206">
        <v>87.64</v>
      </c>
      <c r="K130" s="208"/>
    </row>
    <row r="131" spans="1:11" ht="18.75" x14ac:dyDescent="0.3">
      <c r="A131" s="263">
        <v>0.14000000000000001</v>
      </c>
      <c r="B131" s="263">
        <v>0.1</v>
      </c>
      <c r="C131" s="263">
        <v>1.5</v>
      </c>
      <c r="D131" s="263">
        <v>83.962620000000015</v>
      </c>
      <c r="E131" s="349" t="str">
        <f>"11/1"</f>
        <v>11/1</v>
      </c>
      <c r="F131" s="349" t="s">
        <v>317</v>
      </c>
      <c r="G131" s="211">
        <f>IFERROR(VLOOKUP(F131,[2]Реестр!A:K,2,0),"")</f>
        <v>200</v>
      </c>
      <c r="H131" s="206">
        <v>200</v>
      </c>
      <c r="I131" s="207">
        <v>4.38</v>
      </c>
      <c r="K131" s="208"/>
    </row>
    <row r="132" spans="1:11" ht="18.75" x14ac:dyDescent="0.3">
      <c r="A132" s="209">
        <v>2.64</v>
      </c>
      <c r="B132" s="209">
        <v>0.24</v>
      </c>
      <c r="C132" s="209">
        <v>18.72</v>
      </c>
      <c r="D132" s="209">
        <v>89.6</v>
      </c>
      <c r="E132" s="210" t="s">
        <v>471</v>
      </c>
      <c r="F132" s="217" t="s">
        <v>66</v>
      </c>
      <c r="G132" s="211" t="str">
        <f>IFERROR(VLOOKUP(F132,[2]Реестр!A:K,2,0),"")</f>
        <v>100</v>
      </c>
      <c r="H132" s="206">
        <v>40</v>
      </c>
      <c r="I132" s="207">
        <v>3.6</v>
      </c>
      <c r="K132" s="208"/>
    </row>
    <row r="133" spans="1:11" ht="18.75" x14ac:dyDescent="0.3">
      <c r="A133" s="209">
        <v>2.64</v>
      </c>
      <c r="B133" s="209">
        <v>0.48</v>
      </c>
      <c r="C133" s="209">
        <v>13.36</v>
      </c>
      <c r="D133" s="209">
        <v>77.2</v>
      </c>
      <c r="E133" s="210" t="s">
        <v>471</v>
      </c>
      <c r="F133" s="217" t="s">
        <v>65</v>
      </c>
      <c r="G133" s="211" t="str">
        <f>IFERROR(VLOOKUP(F133,[2]Реестр!A:K,2,0),"")</f>
        <v>100</v>
      </c>
      <c r="H133" s="206">
        <v>40</v>
      </c>
      <c r="I133" s="207">
        <v>3.6</v>
      </c>
      <c r="K133" s="208"/>
    </row>
    <row r="134" spans="1:11" ht="18.75" hidden="1" x14ac:dyDescent="0.3">
      <c r="A134" s="196"/>
      <c r="B134" s="196"/>
      <c r="C134" s="196"/>
      <c r="D134" s="196"/>
      <c r="E134" s="214"/>
      <c r="F134" s="204"/>
      <c r="G134" s="199"/>
      <c r="H134" s="200"/>
      <c r="I134" s="203"/>
      <c r="K134" s="208"/>
    </row>
    <row r="135" spans="1:11" ht="18.75" x14ac:dyDescent="0.3">
      <c r="A135" s="453" t="s">
        <v>16</v>
      </c>
      <c r="B135" s="454"/>
      <c r="C135" s="454"/>
      <c r="D135" s="454"/>
      <c r="E135" s="454"/>
      <c r="F135" s="455"/>
      <c r="G135" s="205"/>
      <c r="H135" s="206"/>
      <c r="I135" s="207">
        <f>SUM(I128:I134)</f>
        <v>162.94999999999999</v>
      </c>
      <c r="K135" s="208"/>
    </row>
    <row r="136" spans="1:11" ht="18.75" x14ac:dyDescent="0.3">
      <c r="A136" s="462" t="s">
        <v>640</v>
      </c>
      <c r="B136" s="462"/>
      <c r="C136" s="462"/>
      <c r="D136" s="462"/>
      <c r="E136" s="462"/>
      <c r="F136" s="462"/>
      <c r="G136" s="462"/>
      <c r="H136" s="462"/>
      <c r="I136" s="462"/>
      <c r="K136" s="208"/>
    </row>
    <row r="137" spans="1:11" ht="18.75" x14ac:dyDescent="0.3">
      <c r="A137" s="263">
        <v>5.55</v>
      </c>
      <c r="B137" s="263">
        <v>7.8</v>
      </c>
      <c r="C137" s="263">
        <v>15.95</v>
      </c>
      <c r="D137" s="263">
        <v>199.78905478333331</v>
      </c>
      <c r="E137" s="350" t="str">
        <f>"6/70"</f>
        <v>6/70</v>
      </c>
      <c r="F137" s="350" t="s">
        <v>220</v>
      </c>
      <c r="G137" s="211" t="str">
        <f>IFERROR(VLOOKUP(F137,[2]Реестр!A:K,2,0),"")</f>
        <v>300</v>
      </c>
      <c r="H137" s="206">
        <v>250</v>
      </c>
      <c r="I137" s="207">
        <v>42</v>
      </c>
      <c r="K137" s="208"/>
    </row>
    <row r="138" spans="1:11" ht="18.75" x14ac:dyDescent="0.25">
      <c r="A138" s="369">
        <v>0.24</v>
      </c>
      <c r="B138" s="369">
        <v>0.03</v>
      </c>
      <c r="C138" s="369">
        <v>0.74</v>
      </c>
      <c r="D138" s="369">
        <v>4.2</v>
      </c>
      <c r="E138" s="370" t="str">
        <f>"7/10"</f>
        <v>7/10</v>
      </c>
      <c r="F138" s="265" t="s">
        <v>679</v>
      </c>
      <c r="G138" s="211" t="str">
        <f>IFERROR(VLOOKUP(F138,[1]Реестр!A:K,2,0),"")</f>
        <v/>
      </c>
      <c r="H138" s="210">
        <v>30</v>
      </c>
      <c r="I138" s="230">
        <v>7.43</v>
      </c>
      <c r="K138" s="208"/>
    </row>
    <row r="139" spans="1:11" ht="18.75" x14ac:dyDescent="0.3">
      <c r="A139" s="348">
        <v>19.440000000000001</v>
      </c>
      <c r="B139" s="348">
        <v>21.37</v>
      </c>
      <c r="C139" s="348">
        <v>55.36</v>
      </c>
      <c r="D139" s="348">
        <v>508.5</v>
      </c>
      <c r="E139" s="349" t="str">
        <f>"8/35"</f>
        <v>8/35</v>
      </c>
      <c r="F139" s="366" t="s">
        <v>671</v>
      </c>
      <c r="G139" s="211" t="str">
        <f>IFERROR(VLOOKUP(F139,[2]Реестр!A:K,2,0),"")</f>
        <v/>
      </c>
      <c r="H139" s="206">
        <v>250</v>
      </c>
      <c r="I139" s="206">
        <v>109.55</v>
      </c>
      <c r="K139" s="208"/>
    </row>
    <row r="140" spans="1:11" ht="18.75" x14ac:dyDescent="0.3">
      <c r="A140" s="263">
        <v>0.14000000000000001</v>
      </c>
      <c r="B140" s="263">
        <v>0.1</v>
      </c>
      <c r="C140" s="263">
        <v>1.5</v>
      </c>
      <c r="D140" s="263">
        <v>83.962620000000015</v>
      </c>
      <c r="E140" s="349" t="str">
        <f>"11/1"</f>
        <v>11/1</v>
      </c>
      <c r="F140" s="349" t="s">
        <v>317</v>
      </c>
      <c r="G140" s="211">
        <f>IFERROR(VLOOKUP(F140,[2]Реестр!A:K,2,0),"")</f>
        <v>200</v>
      </c>
      <c r="H140" s="206">
        <v>200</v>
      </c>
      <c r="I140" s="207">
        <v>4.38</v>
      </c>
      <c r="K140" s="208"/>
    </row>
    <row r="141" spans="1:11" ht="18.75" x14ac:dyDescent="0.3">
      <c r="A141" s="209">
        <v>2.64</v>
      </c>
      <c r="B141" s="209">
        <v>0.24</v>
      </c>
      <c r="C141" s="209">
        <v>18.72</v>
      </c>
      <c r="D141" s="209">
        <v>89.6</v>
      </c>
      <c r="E141" s="210" t="s">
        <v>471</v>
      </c>
      <c r="F141" s="217" t="s">
        <v>66</v>
      </c>
      <c r="G141" s="211" t="str">
        <f>IFERROR(VLOOKUP(F141,[2]Реестр!A:K,2,0),"")</f>
        <v>100</v>
      </c>
      <c r="H141" s="206">
        <v>40</v>
      </c>
      <c r="I141" s="207">
        <v>3.6</v>
      </c>
      <c r="K141" s="208"/>
    </row>
    <row r="142" spans="1:11" ht="18.75" x14ac:dyDescent="0.3">
      <c r="A142" s="209">
        <v>2.64</v>
      </c>
      <c r="B142" s="209">
        <v>0.48</v>
      </c>
      <c r="C142" s="209">
        <v>13.36</v>
      </c>
      <c r="D142" s="209">
        <v>77.2</v>
      </c>
      <c r="E142" s="210" t="s">
        <v>471</v>
      </c>
      <c r="F142" s="217" t="s">
        <v>65</v>
      </c>
      <c r="G142" s="211" t="str">
        <f>IFERROR(VLOOKUP(F142,[2]Реестр!A:K,2,0),"")</f>
        <v>100</v>
      </c>
      <c r="H142" s="206">
        <v>40</v>
      </c>
      <c r="I142" s="207">
        <v>3.6</v>
      </c>
      <c r="K142" s="208"/>
    </row>
    <row r="143" spans="1:11" ht="18.75" hidden="1" x14ac:dyDescent="0.3">
      <c r="A143" s="209"/>
      <c r="B143" s="209"/>
      <c r="C143" s="209"/>
      <c r="D143" s="209"/>
      <c r="E143" s="210"/>
      <c r="F143" s="356"/>
      <c r="G143" s="211"/>
      <c r="H143" s="206"/>
      <c r="I143" s="207"/>
      <c r="K143" s="208"/>
    </row>
    <row r="144" spans="1:11" ht="18.75" x14ac:dyDescent="0.3">
      <c r="A144" s="453" t="s">
        <v>16</v>
      </c>
      <c r="B144" s="454"/>
      <c r="C144" s="454"/>
      <c r="D144" s="454"/>
      <c r="E144" s="454"/>
      <c r="F144" s="455"/>
      <c r="G144" s="205"/>
      <c r="H144" s="206"/>
      <c r="I144" s="207">
        <f>SUM(I137:I143)</f>
        <v>170.55999999999997</v>
      </c>
      <c r="K144" s="208"/>
    </row>
    <row r="145" spans="1:9" hidden="1" x14ac:dyDescent="0.25"/>
    <row r="146" spans="1:9" ht="18.75" x14ac:dyDescent="0.3">
      <c r="A146" s="481" t="s">
        <v>677</v>
      </c>
      <c r="B146" s="482"/>
      <c r="C146" s="482"/>
      <c r="D146" s="482"/>
      <c r="E146" s="482"/>
      <c r="F146" s="482"/>
      <c r="G146" s="482"/>
      <c r="H146" s="482"/>
      <c r="I146" s="483"/>
    </row>
    <row r="147" spans="1:9" ht="18.75" x14ac:dyDescent="0.3">
      <c r="A147" s="263">
        <v>5.55</v>
      </c>
      <c r="B147" s="263">
        <v>7.8</v>
      </c>
      <c r="C147" s="263">
        <v>15.95</v>
      </c>
      <c r="D147" s="263">
        <v>199.78905478333331</v>
      </c>
      <c r="E147" s="350" t="str">
        <f>"6/70"</f>
        <v>6/70</v>
      </c>
      <c r="F147" s="350" t="s">
        <v>220</v>
      </c>
      <c r="G147" s="211" t="str">
        <f>IFERROR(VLOOKUP(F147,[2]Реестр!A:K,2,0),"")</f>
        <v>300</v>
      </c>
      <c r="H147" s="206">
        <v>250</v>
      </c>
      <c r="I147" s="450">
        <v>130.88</v>
      </c>
    </row>
    <row r="148" spans="1:9" ht="18.75" x14ac:dyDescent="0.3">
      <c r="A148" s="263">
        <v>16.579999999999998</v>
      </c>
      <c r="B148" s="263">
        <v>19.5</v>
      </c>
      <c r="C148" s="263">
        <v>68.38</v>
      </c>
      <c r="D148" s="263">
        <v>327.07</v>
      </c>
      <c r="E148" s="349" t="str">
        <f>"8/35"</f>
        <v>8/35</v>
      </c>
      <c r="F148" s="355" t="s">
        <v>671</v>
      </c>
      <c r="G148" s="211" t="str">
        <f>IFERROR(VLOOKUP(F148,[2]Реестр!A:K,2,0),"")</f>
        <v/>
      </c>
      <c r="H148" s="206">
        <v>200</v>
      </c>
      <c r="I148" s="451"/>
    </row>
    <row r="149" spans="1:9" ht="18.75" x14ac:dyDescent="0.3">
      <c r="A149" s="263">
        <v>0.14000000000000001</v>
      </c>
      <c r="B149" s="263">
        <v>0.1</v>
      </c>
      <c r="C149" s="263">
        <v>1.5</v>
      </c>
      <c r="D149" s="263">
        <v>83.962620000000015</v>
      </c>
      <c r="E149" s="349" t="str">
        <f>"11/1"</f>
        <v>11/1</v>
      </c>
      <c r="F149" s="349" t="s">
        <v>317</v>
      </c>
      <c r="G149" s="211">
        <f>IFERROR(VLOOKUP(F149,[2]Реестр!A:K,2,0),"")</f>
        <v>200</v>
      </c>
      <c r="H149" s="206">
        <v>200</v>
      </c>
      <c r="I149" s="451"/>
    </row>
    <row r="150" spans="1:9" ht="18.75" x14ac:dyDescent="0.3">
      <c r="A150" s="209">
        <v>2.64</v>
      </c>
      <c r="B150" s="209">
        <v>0.24</v>
      </c>
      <c r="C150" s="209">
        <v>18.72</v>
      </c>
      <c r="D150" s="209">
        <v>89.6</v>
      </c>
      <c r="E150" s="210" t="s">
        <v>471</v>
      </c>
      <c r="F150" s="217" t="s">
        <v>66</v>
      </c>
      <c r="G150" s="211" t="str">
        <f>IFERROR(VLOOKUP(F150,[2]Реестр!A:K,2,0),"")</f>
        <v>100</v>
      </c>
      <c r="H150" s="206">
        <v>40</v>
      </c>
      <c r="I150" s="451"/>
    </row>
    <row r="151" spans="1:9" ht="18.75" x14ac:dyDescent="0.3">
      <c r="A151" s="209">
        <v>2.64</v>
      </c>
      <c r="B151" s="209">
        <v>0.48</v>
      </c>
      <c r="C151" s="209">
        <v>13.36</v>
      </c>
      <c r="D151" s="209">
        <v>77.2</v>
      </c>
      <c r="E151" s="210" t="s">
        <v>471</v>
      </c>
      <c r="F151" s="217" t="s">
        <v>65</v>
      </c>
      <c r="G151" s="211" t="str">
        <f>IFERROR(VLOOKUP(F151,[2]Реестр!A:K,2,0),"")</f>
        <v>100</v>
      </c>
      <c r="H151" s="206">
        <v>40</v>
      </c>
      <c r="I151" s="452"/>
    </row>
    <row r="152" spans="1:9" ht="18.75" x14ac:dyDescent="0.3">
      <c r="A152" s="453" t="s">
        <v>16</v>
      </c>
      <c r="B152" s="454"/>
      <c r="C152" s="454"/>
      <c r="D152" s="454"/>
      <c r="E152" s="454"/>
      <c r="F152" s="455"/>
      <c r="G152" s="205"/>
      <c r="H152" s="206"/>
      <c r="I152" s="207">
        <f>SUM(I147:I151)</f>
        <v>130.88</v>
      </c>
    </row>
    <row r="154" spans="1:9" ht="18.75" x14ac:dyDescent="0.3">
      <c r="F154" s="254" t="s">
        <v>37</v>
      </c>
      <c r="G154" s="270"/>
      <c r="H154" s="257"/>
      <c r="I154" s="258"/>
    </row>
    <row r="155" spans="1:9" hidden="1" x14ac:dyDescent="0.25"/>
  </sheetData>
  <autoFilter ref="A4:I93" xr:uid="{00000000-0009-0000-0000-00000F000000}"/>
  <mergeCells count="57">
    <mergeCell ref="A146:I146"/>
    <mergeCell ref="I147:I151"/>
    <mergeCell ref="A152:F152"/>
    <mergeCell ref="A144:F144"/>
    <mergeCell ref="I102:I107"/>
    <mergeCell ref="A108:F108"/>
    <mergeCell ref="A109:I109"/>
    <mergeCell ref="I110:I116"/>
    <mergeCell ref="A117:F117"/>
    <mergeCell ref="A118:I118"/>
    <mergeCell ref="I119:I125"/>
    <mergeCell ref="A126:F126"/>
    <mergeCell ref="A127:I127"/>
    <mergeCell ref="A135:F135"/>
    <mergeCell ref="A136:I136"/>
    <mergeCell ref="A101:I101"/>
    <mergeCell ref="A71:I71"/>
    <mergeCell ref="A78:F78"/>
    <mergeCell ref="A79:I79"/>
    <mergeCell ref="A81:F81"/>
    <mergeCell ref="A82:I82"/>
    <mergeCell ref="A84:F84"/>
    <mergeCell ref="A85:I85"/>
    <mergeCell ref="A93:F93"/>
    <mergeCell ref="A94:I94"/>
    <mergeCell ref="I95:I99"/>
    <mergeCell ref="A100:F100"/>
    <mergeCell ref="A70:F70"/>
    <mergeCell ref="A22:I22"/>
    <mergeCell ref="A29:F29"/>
    <mergeCell ref="A30:I30"/>
    <mergeCell ref="A38:F38"/>
    <mergeCell ref="A39:I39"/>
    <mergeCell ref="A40:I40"/>
    <mergeCell ref="A46:I46"/>
    <mergeCell ref="A54:F54"/>
    <mergeCell ref="A55:I55"/>
    <mergeCell ref="A56:I56"/>
    <mergeCell ref="A62:I62"/>
    <mergeCell ref="I4:I5"/>
    <mergeCell ref="J4:J5"/>
    <mergeCell ref="A6:I6"/>
    <mergeCell ref="A12:F12"/>
    <mergeCell ref="A13:I13"/>
    <mergeCell ref="G4:G5"/>
    <mergeCell ref="H4:H5"/>
    <mergeCell ref="A21:F21"/>
    <mergeCell ref="A4:C4"/>
    <mergeCell ref="D4:D5"/>
    <mergeCell ref="E4:E5"/>
    <mergeCell ref="F4:F5"/>
    <mergeCell ref="A1:B1"/>
    <mergeCell ref="H1:I1"/>
    <mergeCell ref="H2:I2"/>
    <mergeCell ref="A3:C3"/>
    <mergeCell ref="D3:E3"/>
    <mergeCell ref="H3:I3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F00-000001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F80</xm:sqref>
        </x14:dataValidation>
        <x14:dataValidation type="list" allowBlank="1" showInputMessage="1" showErrorMessage="1" xr:uid="{00000000-0002-0000-0F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F10:F11 F19 F27:F28 F124 F52 F68 F76:F77 F98:F99 F133 F44:F45 F36 F91 F60:F61 F105:F106 F151 F142</xm:sqref>
        </x14:dataValidation>
        <x14:dataValidation type="list" allowBlank="1" showInputMessage="1" showErrorMessage="1" xr:uid="{00000000-0002-0000-0F00-000003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F88 F147:F148 F24 F14:F16 F31:F33 F128:F130 F83 F65 F86 F73 F110 F119:F121 F112 F47:F49 F63 F139 F137</xm:sqref>
        </x14:dataValidation>
        <x14:dataValidation type="list" allowBlank="1" showInputMessage="1" showErrorMessage="1" xr:uid="{00000000-0002-0000-0F00-000004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F20 F134 F53 F37 F92 F69 F115 F125</xm:sqref>
        </x14:dataValidation>
        <x14:dataValidation type="list" allowBlank="1" showInputMessage="1" showErrorMessage="1" xr:uid="{00000000-0002-0000-0F00-000005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F133 F19 F27:F28 F36 F52 F68 F76:F77 F91 F124 F151 F10:F11 F44:F45 F60:F61 F98:F99 F105:F106 F142</xm:sqref>
        </x14:dataValidation>
        <x14:dataValidation type="list" allowBlank="1" showInputMessage="1" showErrorMessage="1" xr:uid="{00000000-0002-0000-0F00-000006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F7:F9 F17:F18 F25:F26 F122:F123 F50:F51 F66:F67 F74:F75 F102:F104 F111 F57:F59 F131:F132 F41:F43 F95:F97 F89:F90 F34:F35 F116 F107 F113 F149:F150 F64 F87 F140:F141</xm:sqref>
        </x14:dataValidation>
        <x14:dataValidation type="list" allowBlank="1" showInputMessage="1" showErrorMessage="1" xr:uid="{00000000-0002-0000-0F00-000007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F114</xm:sqref>
        </x14:dataValidation>
        <x14:dataValidation type="list" allowBlank="1" showInputMessage="1" showErrorMessage="1" xr:uid="{00000000-0002-0000-0F00-000008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2022\13.10 н1д4\[13.10.xlsm]Реестр'!#REF!</xm:f>
          </x14:formula1>
          <x14:formula2>
            <xm:f>0</xm:f>
          </x14:formula2>
          <xm:sqref>F143</xm:sqref>
        </x14:dataValidation>
        <x14:dataValidation type="list" allowBlank="1" showInputMessage="1" showErrorMessage="1" xr:uid="{31288DFE-F7EA-494A-9CB6-CB24273F83B2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F23 F72 F138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34">
    <pageSetUpPr fitToPage="1"/>
  </sheetPr>
  <dimension ref="A1:L146"/>
  <sheetViews>
    <sheetView view="pageBreakPreview" topLeftCell="A76" zoomScaleNormal="100" zoomScaleSheetLayoutView="100" workbookViewId="0">
      <selection activeCell="F11" sqref="F11"/>
    </sheetView>
  </sheetViews>
  <sheetFormatPr defaultRowHeight="15.75" x14ac:dyDescent="0.25"/>
  <cols>
    <col min="1" max="1" width="11.28515625" style="215" customWidth="1"/>
    <col min="2" max="2" width="11.28515625" style="252" customWidth="1"/>
    <col min="3" max="3" width="10.5703125" style="253" customWidth="1"/>
    <col min="4" max="4" width="10.28515625" style="253" customWidth="1"/>
    <col min="5" max="5" width="14" style="253" customWidth="1"/>
    <col min="6" max="6" width="57.85546875" style="253" customWidth="1"/>
    <col min="7" max="7" width="17.85546875" style="253" hidden="1" customWidth="1"/>
    <col min="8" max="9" width="15.5703125" style="253" customWidth="1"/>
    <col min="10" max="10" width="25.5703125" style="215" customWidth="1"/>
    <col min="11" max="1025" width="8.7109375" style="202" customWidth="1"/>
    <col min="1026" max="16384" width="9.140625" style="202"/>
  </cols>
  <sheetData>
    <row r="1" spans="1:12" s="234" customFormat="1" ht="29.25" customHeight="1" x14ac:dyDescent="0.25">
      <c r="A1" s="468" t="s">
        <v>0</v>
      </c>
      <c r="B1" s="468"/>
      <c r="C1" s="235"/>
      <c r="D1" s="235"/>
      <c r="E1" s="235"/>
      <c r="F1" s="231" t="s">
        <v>1</v>
      </c>
      <c r="G1" s="231"/>
      <c r="H1" s="439" t="s">
        <v>0</v>
      </c>
      <c r="I1" s="439"/>
    </row>
    <row r="2" spans="1:12" s="234" customFormat="1" ht="29.25" customHeight="1" x14ac:dyDescent="0.25">
      <c r="A2" s="235" t="s">
        <v>2</v>
      </c>
      <c r="B2" s="235"/>
      <c r="C2" s="259"/>
      <c r="D2" s="259"/>
      <c r="E2" s="259"/>
      <c r="F2" s="231" t="s">
        <v>641</v>
      </c>
      <c r="G2" s="231"/>
      <c r="H2" s="469" t="s">
        <v>642</v>
      </c>
      <c r="I2" s="469"/>
      <c r="J2" s="235"/>
    </row>
    <row r="3" spans="1:12" s="234" customFormat="1" ht="29.25" customHeight="1" x14ac:dyDescent="0.25">
      <c r="A3" s="437" t="s">
        <v>522</v>
      </c>
      <c r="B3" s="437"/>
      <c r="C3" s="437"/>
      <c r="D3" s="438"/>
      <c r="E3" s="438"/>
      <c r="F3" s="371" t="s">
        <v>685</v>
      </c>
      <c r="G3" s="231"/>
      <c r="H3" s="470" t="s">
        <v>643</v>
      </c>
      <c r="I3" s="470"/>
    </row>
    <row r="4" spans="1:12" ht="15" customHeight="1" x14ac:dyDescent="0.25">
      <c r="A4" s="472" t="s">
        <v>4</v>
      </c>
      <c r="B4" s="472"/>
      <c r="C4" s="472"/>
      <c r="D4" s="471" t="s">
        <v>5</v>
      </c>
      <c r="E4" s="471" t="s">
        <v>6</v>
      </c>
      <c r="F4" s="471" t="s">
        <v>7</v>
      </c>
      <c r="G4" s="473" t="s">
        <v>8</v>
      </c>
      <c r="H4" s="471" t="s">
        <v>9</v>
      </c>
      <c r="I4" s="471" t="s">
        <v>10</v>
      </c>
      <c r="J4" s="471" t="s">
        <v>11</v>
      </c>
    </row>
    <row r="5" spans="1:12" x14ac:dyDescent="0.25">
      <c r="A5" s="232" t="s">
        <v>12</v>
      </c>
      <c r="B5" s="232" t="s">
        <v>13</v>
      </c>
      <c r="C5" s="232" t="s">
        <v>14</v>
      </c>
      <c r="D5" s="471"/>
      <c r="E5" s="471"/>
      <c r="F5" s="471"/>
      <c r="G5" s="473"/>
      <c r="H5" s="471"/>
      <c r="I5" s="471"/>
      <c r="J5" s="471"/>
    </row>
    <row r="6" spans="1:12" ht="18" customHeight="1" x14ac:dyDescent="0.3">
      <c r="A6" s="462" t="s">
        <v>15</v>
      </c>
      <c r="B6" s="462"/>
      <c r="C6" s="462"/>
      <c r="D6" s="462"/>
      <c r="E6" s="462"/>
      <c r="F6" s="462"/>
      <c r="G6" s="462"/>
      <c r="H6" s="462"/>
      <c r="I6" s="462"/>
      <c r="J6" s="212"/>
    </row>
    <row r="7" spans="1:12" ht="18" customHeight="1" x14ac:dyDescent="0.3">
      <c r="A7" s="209">
        <f>IFERROR(VLOOKUP(F7,[1]Реестр!A:K,3,0)*H7/G7,"")</f>
        <v>3.84</v>
      </c>
      <c r="B7" s="209">
        <f>IFERROR(VLOOKUP(F7,[1]Реестр!A:K,4,0)*H7/G7,"")</f>
        <v>10.1</v>
      </c>
      <c r="C7" s="209">
        <f>IFERROR(VLOOKUP(F7,[1]Реестр!A:K,5,0)*H7/G7,"")</f>
        <v>9.77</v>
      </c>
      <c r="D7" s="209">
        <f>IFERROR(VLOOKUP(F7,[1]Реестр!A:K,6,0)*H7/G7,"")</f>
        <v>145.38300000000001</v>
      </c>
      <c r="E7" s="210" t="str">
        <f>IFERROR(VLOOKUP(F7,[1]Реестр!A:K,11,0),"")</f>
        <v>1*57</v>
      </c>
      <c r="F7" s="355" t="s">
        <v>106</v>
      </c>
      <c r="G7" s="211" t="str">
        <f>IFERROR(VLOOKUP(F7,[1]Реестр!A:K,2,0),"")</f>
        <v>40</v>
      </c>
      <c r="H7" s="210">
        <v>40</v>
      </c>
      <c r="I7" s="207">
        <v>26.85</v>
      </c>
      <c r="J7" s="201" t="str">
        <f>IFERROR(VLOOKUP(O7,Реестр!#REF!,3,0)*Q7/P7,"")</f>
        <v/>
      </c>
    </row>
    <row r="8" spans="1:12" ht="18" customHeight="1" x14ac:dyDescent="0.3">
      <c r="A8" s="209">
        <v>9.75</v>
      </c>
      <c r="B8" s="209">
        <v>12.14</v>
      </c>
      <c r="C8" s="209">
        <v>36.06</v>
      </c>
      <c r="D8" s="209">
        <v>291.64</v>
      </c>
      <c r="E8" s="349" t="str">
        <f>"2/57"</f>
        <v>2/57</v>
      </c>
      <c r="F8" s="349" t="s">
        <v>665</v>
      </c>
      <c r="G8" s="211" t="str">
        <f>IFERROR(VLOOKUP(F8,[1]Реестр!A:K,2,0),"")</f>
        <v/>
      </c>
      <c r="H8" s="210">
        <v>210</v>
      </c>
      <c r="I8" s="207">
        <v>38.270000000000003</v>
      </c>
      <c r="J8" s="201" t="str">
        <f>IFERROR(VLOOKUP(O8,Реестр!#REF!,3,0)*Q8/P8,"")</f>
        <v/>
      </c>
    </row>
    <row r="9" spans="1:12" ht="18" customHeight="1" x14ac:dyDescent="0.3">
      <c r="A9" s="209">
        <f>IFERROR(VLOOKUP(F9,[1]Реестр!A:K,3,0)*H9/G9,"")</f>
        <v>0.15</v>
      </c>
      <c r="B9" s="209">
        <f>IFERROR(VLOOKUP(F9,[1]Реестр!A:K,4,0)*H9/G9,"")</f>
        <v>0.09</v>
      </c>
      <c r="C9" s="209">
        <f>IFERROR(VLOOKUP(F9,[1]Реестр!A:K,5,0)*H9/G9,"")</f>
        <v>8.58</v>
      </c>
      <c r="D9" s="209">
        <f>IFERROR(VLOOKUP(F9,[1]Реестр!A:K,6,0)*H9/G9,"")</f>
        <v>34.799999999999997</v>
      </c>
      <c r="E9" s="210" t="str">
        <f>IFERROR(VLOOKUP(F9,[1]Реестр!A:K,11,0),"")</f>
        <v>12*2</v>
      </c>
      <c r="F9" s="356" t="s">
        <v>371</v>
      </c>
      <c r="G9" s="211" t="str">
        <f>IFERROR(VLOOKUP(F9,[1]Реестр!A:K,2,0),"")</f>
        <v>100</v>
      </c>
      <c r="H9" s="210">
        <v>30</v>
      </c>
      <c r="I9" s="207">
        <v>17.559999999999999</v>
      </c>
      <c r="J9" s="201" t="str">
        <f>IFERROR(VLOOKUP(O9,Реестр!#REF!,3,0)*Q9/P9,"")</f>
        <v/>
      </c>
    </row>
    <row r="10" spans="1:12" ht="18" customHeight="1" x14ac:dyDescent="0.3">
      <c r="A10" s="209">
        <f>IFERROR(VLOOKUP(F10,[1]Реестр!A:K,3,0)*H10/G10,"")</f>
        <v>1.4</v>
      </c>
      <c r="B10" s="209">
        <f>IFERROR(VLOOKUP(F10,[1]Реестр!A:K,4,0)*H10/G10,"")</f>
        <v>1.1000000000000001</v>
      </c>
      <c r="C10" s="209">
        <f>IFERROR(VLOOKUP(F10,[1]Реестр!A:K,5,0)*H10/G10,"")</f>
        <v>16.600000000000001</v>
      </c>
      <c r="D10" s="209">
        <f>IFERROR(VLOOKUP(F10,[1]Реестр!A:K,6,0)*H10/G10,"")</f>
        <v>79</v>
      </c>
      <c r="E10" s="349" t="str">
        <f>"11/59"</f>
        <v>11/59</v>
      </c>
      <c r="F10" s="349" t="s">
        <v>357</v>
      </c>
      <c r="G10" s="211" t="str">
        <f>IFERROR(VLOOKUP(F10,[1]Реестр!A:K,2,0),"")</f>
        <v>200</v>
      </c>
      <c r="H10" s="206">
        <v>200</v>
      </c>
      <c r="I10" s="207">
        <v>24.16</v>
      </c>
      <c r="J10" s="201" t="str">
        <f>IFERROR(VLOOKUP(O10,Реестр!#REF!,3,0)*Q10/P10,"")</f>
        <v/>
      </c>
    </row>
    <row r="11" spans="1:12" ht="18.75" x14ac:dyDescent="0.3">
      <c r="A11" s="209">
        <f>IFERROR(VLOOKUP(F11,[1]Реестр!A:K,3,0)*H11/G11,"")</f>
        <v>1.32</v>
      </c>
      <c r="B11" s="209">
        <f>IFERROR(VLOOKUP(F11,[1]Реестр!A:K,4,0)*H11/G11,"")</f>
        <v>0.24</v>
      </c>
      <c r="C11" s="209">
        <f>IFERROR(VLOOKUP(F11,[1]Реестр!A:K,5,0)*H11/G11,"")</f>
        <v>6.68</v>
      </c>
      <c r="D11" s="209">
        <f>IFERROR(VLOOKUP(F11,[1]Реестр!A:K,6,0)*H11/G11,"")</f>
        <v>38.6</v>
      </c>
      <c r="E11" s="210" t="str">
        <f>IFERROR(VLOOKUP(F11,[1]Реестр!A:K,11,0),"")</f>
        <v>-</v>
      </c>
      <c r="F11" s="217" t="s">
        <v>65</v>
      </c>
      <c r="G11" s="211" t="str">
        <f>IFERROR(VLOOKUP(F11,[1]Реестр!A:K,2,0),"")</f>
        <v>100</v>
      </c>
      <c r="H11" s="206">
        <v>20</v>
      </c>
      <c r="I11" s="207">
        <v>1.8</v>
      </c>
      <c r="J11" s="206"/>
      <c r="K11" s="208"/>
    </row>
    <row r="12" spans="1:12" ht="18" customHeight="1" x14ac:dyDescent="0.3">
      <c r="A12" s="464" t="s">
        <v>16</v>
      </c>
      <c r="B12" s="464"/>
      <c r="C12" s="464"/>
      <c r="D12" s="464"/>
      <c r="E12" s="464"/>
      <c r="F12" s="464"/>
      <c r="G12" s="205"/>
      <c r="H12" s="206"/>
      <c r="I12" s="207">
        <f>SUM(I7:I11)</f>
        <v>108.64</v>
      </c>
      <c r="J12" s="206">
        <v>108.64</v>
      </c>
      <c r="K12" s="208">
        <f>I12-J12</f>
        <v>0</v>
      </c>
      <c r="L12" s="208"/>
    </row>
    <row r="13" spans="1:12" ht="18" hidden="1" customHeight="1" x14ac:dyDescent="0.3">
      <c r="A13" s="462" t="s">
        <v>17</v>
      </c>
      <c r="B13" s="462"/>
      <c r="C13" s="462"/>
      <c r="D13" s="462"/>
      <c r="E13" s="462"/>
      <c r="F13" s="462"/>
      <c r="G13" s="462"/>
      <c r="H13" s="462"/>
      <c r="I13" s="462"/>
      <c r="J13" s="212"/>
    </row>
    <row r="14" spans="1:12" ht="30" hidden="1" x14ac:dyDescent="0.3">
      <c r="A14" s="367">
        <v>1.03</v>
      </c>
      <c r="B14" s="353">
        <v>4.7699999999999996</v>
      </c>
      <c r="C14" s="353">
        <v>6.38</v>
      </c>
      <c r="D14" s="353">
        <v>68.989999999999995</v>
      </c>
      <c r="E14" s="357" t="str">
        <f>"7/80"</f>
        <v>7/80</v>
      </c>
      <c r="F14" s="228" t="s">
        <v>678</v>
      </c>
      <c r="G14" s="211" t="str">
        <f>IFERROR(VLOOKUP(F14,[2]Реестр!A:K,2,0),"")</f>
        <v/>
      </c>
      <c r="H14" s="210">
        <v>80</v>
      </c>
      <c r="I14" s="230">
        <v>21.73</v>
      </c>
      <c r="J14" s="201" t="str">
        <f>IFERROR(VLOOKUP(O14,Реестр!#REF!,3,0)*Q14/P14,"")</f>
        <v/>
      </c>
    </row>
    <row r="15" spans="1:12" ht="18" hidden="1" customHeight="1" x14ac:dyDescent="0.3">
      <c r="A15" s="263">
        <v>5.55</v>
      </c>
      <c r="B15" s="263">
        <v>7.8</v>
      </c>
      <c r="C15" s="263">
        <v>15.95</v>
      </c>
      <c r="D15" s="263">
        <v>199.78905478333331</v>
      </c>
      <c r="E15" s="350" t="str">
        <f>"6/70"</f>
        <v>6/70</v>
      </c>
      <c r="F15" s="350" t="s">
        <v>220</v>
      </c>
      <c r="G15" s="211" t="str">
        <f>IFERROR(VLOOKUP(F15,[2]Реестр!A:K,2,0),"")</f>
        <v>300</v>
      </c>
      <c r="H15" s="206">
        <v>250</v>
      </c>
      <c r="I15" s="207">
        <v>42</v>
      </c>
      <c r="J15" s="201" t="str">
        <f>IFERROR(VLOOKUP(O15,Реестр!#REF!,3,0)*Q15/P15,"")</f>
        <v/>
      </c>
    </row>
    <row r="16" spans="1:12" ht="18" hidden="1" customHeight="1" x14ac:dyDescent="0.3">
      <c r="A16" s="263">
        <v>16.579999999999998</v>
      </c>
      <c r="B16" s="263">
        <v>19.5</v>
      </c>
      <c r="C16" s="263">
        <v>68.38</v>
      </c>
      <c r="D16" s="263">
        <v>327.07</v>
      </c>
      <c r="E16" s="349" t="str">
        <f>"8/35"</f>
        <v>8/35</v>
      </c>
      <c r="F16" s="349" t="s">
        <v>549</v>
      </c>
      <c r="G16" s="211" t="str">
        <f>IFERROR(VLOOKUP(F16,[2]Реестр!A:K,2,0),"")</f>
        <v/>
      </c>
      <c r="H16" s="206">
        <v>200</v>
      </c>
      <c r="I16" s="206">
        <v>87.64</v>
      </c>
      <c r="J16" s="201" t="str">
        <f>IFERROR(VLOOKUP(O16,Реестр!#REF!,3,0)*Q16/P16,"")</f>
        <v/>
      </c>
    </row>
    <row r="17" spans="1:12" ht="18" hidden="1" customHeight="1" x14ac:dyDescent="0.3">
      <c r="A17" s="263">
        <v>0.14000000000000001</v>
      </c>
      <c r="B17" s="263">
        <v>0.1</v>
      </c>
      <c r="C17" s="263">
        <v>1.5</v>
      </c>
      <c r="D17" s="263">
        <v>83.962620000000015</v>
      </c>
      <c r="E17" s="349" t="str">
        <f>"11/1"</f>
        <v>11/1</v>
      </c>
      <c r="F17" s="349" t="s">
        <v>317</v>
      </c>
      <c r="G17" s="211">
        <f>IFERROR(VLOOKUP(F17,[2]Реестр!A:K,2,0),"")</f>
        <v>200</v>
      </c>
      <c r="H17" s="206">
        <v>200</v>
      </c>
      <c r="I17" s="207">
        <v>4.38</v>
      </c>
      <c r="J17" s="201"/>
    </row>
    <row r="18" spans="1:12" ht="18" hidden="1" customHeight="1" x14ac:dyDescent="0.3">
      <c r="A18" s="209">
        <v>2.64</v>
      </c>
      <c r="B18" s="209">
        <v>0.24</v>
      </c>
      <c r="C18" s="209">
        <v>18.72</v>
      </c>
      <c r="D18" s="209">
        <v>89.6</v>
      </c>
      <c r="E18" s="210" t="s">
        <v>471</v>
      </c>
      <c r="F18" s="217" t="s">
        <v>66</v>
      </c>
      <c r="G18" s="211" t="str">
        <f>IFERROR(VLOOKUP(F18,[2]Реестр!A:K,2,0),"")</f>
        <v>100</v>
      </c>
      <c r="H18" s="206">
        <v>40</v>
      </c>
      <c r="I18" s="207">
        <v>3.6</v>
      </c>
      <c r="J18" s="201" t="str">
        <f>IFERROR(VLOOKUP(O18,Реестр!#REF!,3,0)*Q18/P18,"")</f>
        <v/>
      </c>
    </row>
    <row r="19" spans="1:12" ht="18" hidden="1" customHeight="1" x14ac:dyDescent="0.3">
      <c r="A19" s="209">
        <v>2.64</v>
      </c>
      <c r="B19" s="209">
        <v>0.48</v>
      </c>
      <c r="C19" s="209">
        <v>13.36</v>
      </c>
      <c r="D19" s="209">
        <v>77.2</v>
      </c>
      <c r="E19" s="210" t="s">
        <v>471</v>
      </c>
      <c r="F19" s="217" t="s">
        <v>65</v>
      </c>
      <c r="G19" s="211" t="str">
        <f>IFERROR(VLOOKUP(F19,[2]Реестр!A:K,2,0),"")</f>
        <v>100</v>
      </c>
      <c r="H19" s="206">
        <v>40</v>
      </c>
      <c r="I19" s="207">
        <v>3.6</v>
      </c>
      <c r="J19" s="201" t="str">
        <f>IFERROR(VLOOKUP(O19,Реестр!#REF!,3,0)*Q19/P19,"")</f>
        <v/>
      </c>
    </row>
    <row r="20" spans="1:12" ht="18" hidden="1" customHeight="1" x14ac:dyDescent="0.3">
      <c r="A20" s="209"/>
      <c r="B20" s="209"/>
      <c r="C20" s="209"/>
      <c r="D20" s="209"/>
      <c r="E20" s="218"/>
      <c r="F20" s="217"/>
      <c r="G20" s="211"/>
      <c r="H20" s="206"/>
      <c r="I20" s="207"/>
      <c r="J20" s="201"/>
    </row>
    <row r="21" spans="1:12" ht="18.75" hidden="1" x14ac:dyDescent="0.3">
      <c r="A21" s="464" t="s">
        <v>16</v>
      </c>
      <c r="B21" s="464"/>
      <c r="C21" s="464"/>
      <c r="D21" s="464"/>
      <c r="E21" s="464"/>
      <c r="F21" s="464"/>
      <c r="G21" s="205"/>
      <c r="H21" s="206"/>
      <c r="I21" s="207">
        <f>SUM(I14:I20)</f>
        <v>162.94999999999999</v>
      </c>
      <c r="J21" s="206">
        <v>162.94999999999999</v>
      </c>
      <c r="K21" s="208">
        <f>J21-I21</f>
        <v>0</v>
      </c>
    </row>
    <row r="22" spans="1:12" ht="18.75" x14ac:dyDescent="0.3">
      <c r="A22" s="462" t="s">
        <v>500</v>
      </c>
      <c r="B22" s="462"/>
      <c r="C22" s="462"/>
      <c r="D22" s="462"/>
      <c r="E22" s="462"/>
      <c r="F22" s="462"/>
      <c r="G22" s="462"/>
      <c r="H22" s="462"/>
      <c r="I22" s="462"/>
      <c r="J22" s="212"/>
    </row>
    <row r="23" spans="1:12" ht="18.75" x14ac:dyDescent="0.25">
      <c r="A23" s="369">
        <v>0.24</v>
      </c>
      <c r="B23" s="369">
        <v>0.03</v>
      </c>
      <c r="C23" s="369">
        <v>0.74</v>
      </c>
      <c r="D23" s="369">
        <v>4.2</v>
      </c>
      <c r="E23" s="370" t="str">
        <f>"7/10"</f>
        <v>7/10</v>
      </c>
      <c r="F23" s="265" t="s">
        <v>679</v>
      </c>
      <c r="G23" s="211" t="str">
        <f>IFERROR(VLOOKUP(F23,[1]Реестр!A:K,2,0),"")</f>
        <v/>
      </c>
      <c r="H23" s="210">
        <v>30</v>
      </c>
      <c r="I23" s="230">
        <v>7.43</v>
      </c>
      <c r="J23" s="212"/>
    </row>
    <row r="24" spans="1:12" ht="18.75" x14ac:dyDescent="0.3">
      <c r="A24" s="348">
        <v>19.440000000000001</v>
      </c>
      <c r="B24" s="348">
        <v>21.37</v>
      </c>
      <c r="C24" s="348">
        <v>55.36</v>
      </c>
      <c r="D24" s="348">
        <v>508.5</v>
      </c>
      <c r="E24" s="349" t="str">
        <f>"8/35"</f>
        <v>8/35</v>
      </c>
      <c r="F24" s="349" t="s">
        <v>549</v>
      </c>
      <c r="G24" s="211" t="str">
        <f>IFERROR(VLOOKUP(F24,[2]Реестр!A:K,2,0),"")</f>
        <v/>
      </c>
      <c r="H24" s="206">
        <v>250</v>
      </c>
      <c r="I24" s="206">
        <v>109.55</v>
      </c>
      <c r="J24" s="201" t="str">
        <f>IFERROR(VLOOKUP(O24,Реестр!#REF!,3,0)*Q24/P24,"")</f>
        <v/>
      </c>
    </row>
    <row r="25" spans="1:12" ht="18.75" x14ac:dyDescent="0.3">
      <c r="A25" s="263">
        <v>0.14000000000000001</v>
      </c>
      <c r="B25" s="263">
        <v>0.1</v>
      </c>
      <c r="C25" s="263">
        <v>1.5</v>
      </c>
      <c r="D25" s="263">
        <v>83.962620000000015</v>
      </c>
      <c r="E25" s="349" t="str">
        <f>"11/1"</f>
        <v>11/1</v>
      </c>
      <c r="F25" s="349" t="s">
        <v>317</v>
      </c>
      <c r="G25" s="211">
        <f>IFERROR(VLOOKUP(F25,[2]Реестр!A:K,2,0),"")</f>
        <v>200</v>
      </c>
      <c r="H25" s="206">
        <v>200</v>
      </c>
      <c r="I25" s="207">
        <v>4.38</v>
      </c>
      <c r="J25" s="201"/>
    </row>
    <row r="26" spans="1:12" ht="18.75" x14ac:dyDescent="0.3">
      <c r="A26" s="209">
        <v>2.64</v>
      </c>
      <c r="B26" s="209">
        <v>0.24</v>
      </c>
      <c r="C26" s="209">
        <v>18.72</v>
      </c>
      <c r="D26" s="209">
        <v>89.6</v>
      </c>
      <c r="E26" s="210" t="s">
        <v>471</v>
      </c>
      <c r="F26" s="217" t="s">
        <v>66</v>
      </c>
      <c r="G26" s="211" t="str">
        <f>IFERROR(VLOOKUP(F26,[2]Реестр!A:K,2,0),"")</f>
        <v>100</v>
      </c>
      <c r="H26" s="206">
        <v>40</v>
      </c>
      <c r="I26" s="207">
        <v>3.6</v>
      </c>
      <c r="J26" s="201" t="str">
        <f>IFERROR(VLOOKUP(O26,Реестр!#REF!,3,0)*Q26/P26,"")</f>
        <v/>
      </c>
    </row>
    <row r="27" spans="1:12" ht="18.75" x14ac:dyDescent="0.3">
      <c r="A27" s="209">
        <v>2.64</v>
      </c>
      <c r="B27" s="209">
        <v>0.48</v>
      </c>
      <c r="C27" s="209">
        <v>13.36</v>
      </c>
      <c r="D27" s="209">
        <v>77.2</v>
      </c>
      <c r="E27" s="210" t="s">
        <v>471</v>
      </c>
      <c r="F27" s="217" t="s">
        <v>65</v>
      </c>
      <c r="G27" s="211" t="str">
        <f>IFERROR(VLOOKUP(F27,[2]Реестр!A:K,2,0),"")</f>
        <v>100</v>
      </c>
      <c r="H27" s="206">
        <v>40</v>
      </c>
      <c r="I27" s="207">
        <v>3.6</v>
      </c>
      <c r="J27" s="201"/>
    </row>
    <row r="28" spans="1:12" ht="18.75" x14ac:dyDescent="0.3">
      <c r="A28" s="209"/>
      <c r="B28" s="209"/>
      <c r="C28" s="209"/>
      <c r="D28" s="209"/>
      <c r="E28" s="210"/>
      <c r="F28" s="217"/>
      <c r="G28" s="211"/>
      <c r="H28" s="206"/>
      <c r="I28" s="207"/>
      <c r="J28" s="201"/>
    </row>
    <row r="29" spans="1:12" ht="18.75" x14ac:dyDescent="0.3">
      <c r="A29" s="453" t="s">
        <v>16</v>
      </c>
      <c r="B29" s="454"/>
      <c r="C29" s="454"/>
      <c r="D29" s="454"/>
      <c r="E29" s="454"/>
      <c r="F29" s="455"/>
      <c r="G29" s="205"/>
      <c r="H29" s="206"/>
      <c r="I29" s="207">
        <f>SUM(I23:I28)</f>
        <v>128.55999999999997</v>
      </c>
      <c r="J29" s="206">
        <v>128.56</v>
      </c>
      <c r="K29" s="208">
        <f>I29-J29</f>
        <v>0</v>
      </c>
      <c r="L29" s="208"/>
    </row>
    <row r="30" spans="1:12" ht="18.75" x14ac:dyDescent="0.3">
      <c r="A30" s="462" t="s">
        <v>501</v>
      </c>
      <c r="B30" s="462"/>
      <c r="C30" s="462"/>
      <c r="D30" s="462"/>
      <c r="E30" s="462"/>
      <c r="F30" s="462"/>
      <c r="G30" s="462"/>
      <c r="H30" s="462"/>
      <c r="I30" s="462"/>
      <c r="J30" s="201"/>
    </row>
    <row r="31" spans="1:12" ht="18.75" x14ac:dyDescent="0.3">
      <c r="A31" s="368">
        <v>1.29</v>
      </c>
      <c r="B31" s="368">
        <v>5.97</v>
      </c>
      <c r="C31" s="368">
        <v>7.97</v>
      </c>
      <c r="D31" s="368">
        <v>86.23</v>
      </c>
      <c r="E31" s="357" t="str">
        <f>"7/80"</f>
        <v>7/80</v>
      </c>
      <c r="F31" s="228" t="s">
        <v>680</v>
      </c>
      <c r="G31" s="211" t="str">
        <f>IFERROR(VLOOKUP(F31,[2]Реестр!A:K,2,0),"")</f>
        <v/>
      </c>
      <c r="H31" s="210">
        <v>100</v>
      </c>
      <c r="I31" s="230">
        <v>27.91</v>
      </c>
      <c r="J31" s="201"/>
    </row>
    <row r="32" spans="1:12" ht="18.75" x14ac:dyDescent="0.3">
      <c r="A32" s="263">
        <v>12.44</v>
      </c>
      <c r="B32" s="263">
        <v>7.77</v>
      </c>
      <c r="C32" s="263">
        <v>25.16</v>
      </c>
      <c r="D32" s="263">
        <v>208</v>
      </c>
      <c r="E32" s="267" t="str">
        <f>"6/70"</f>
        <v>6/70</v>
      </c>
      <c r="F32" s="267" t="s">
        <v>220</v>
      </c>
      <c r="G32" s="211" t="str">
        <f>IFERROR(VLOOKUP(F32,[2]Реестр!A:K,2,0),"")</f>
        <v>300</v>
      </c>
      <c r="H32" s="206">
        <v>250</v>
      </c>
      <c r="I32" s="207">
        <v>42</v>
      </c>
      <c r="J32" s="206"/>
      <c r="K32" s="208">
        <f>I38-J32</f>
        <v>192.83999999999997</v>
      </c>
    </row>
    <row r="33" spans="1:12" ht="18.75" x14ac:dyDescent="0.3">
      <c r="A33" s="348">
        <v>19.440000000000001</v>
      </c>
      <c r="B33" s="348">
        <v>21.37</v>
      </c>
      <c r="C33" s="348">
        <v>55.36</v>
      </c>
      <c r="D33" s="348">
        <v>508.5</v>
      </c>
      <c r="E33" s="349" t="str">
        <f>"8/35"</f>
        <v>8/35</v>
      </c>
      <c r="F33" s="349" t="s">
        <v>549</v>
      </c>
      <c r="G33" s="211" t="str">
        <f>IFERROR(VLOOKUP(F33,[2]Реестр!A:K,2,0),"")</f>
        <v/>
      </c>
      <c r="H33" s="206">
        <v>250</v>
      </c>
      <c r="I33" s="206">
        <v>109.55</v>
      </c>
      <c r="J33" s="212"/>
    </row>
    <row r="34" spans="1:12" ht="18.75" x14ac:dyDescent="0.3">
      <c r="A34" s="263">
        <v>0.14000000000000001</v>
      </c>
      <c r="B34" s="263">
        <v>0.1</v>
      </c>
      <c r="C34" s="263">
        <v>1.5</v>
      </c>
      <c r="D34" s="263">
        <v>83.962620000000015</v>
      </c>
      <c r="E34" s="349" t="str">
        <f>"11/1"</f>
        <v>11/1</v>
      </c>
      <c r="F34" s="349" t="s">
        <v>317</v>
      </c>
      <c r="G34" s="211">
        <f>IFERROR(VLOOKUP(F34,[2]Реестр!A:K,2,0),"")</f>
        <v>200</v>
      </c>
      <c r="H34" s="206">
        <v>200</v>
      </c>
      <c r="I34" s="207">
        <v>4.38</v>
      </c>
      <c r="J34" s="212"/>
    </row>
    <row r="35" spans="1:12" ht="18.75" x14ac:dyDescent="0.3">
      <c r="A35" s="209">
        <v>3.3</v>
      </c>
      <c r="B35" s="209">
        <v>0.3</v>
      </c>
      <c r="C35" s="209">
        <v>23.4</v>
      </c>
      <c r="D35" s="209">
        <v>112</v>
      </c>
      <c r="E35" s="210" t="s">
        <v>471</v>
      </c>
      <c r="F35" s="217" t="s">
        <v>66</v>
      </c>
      <c r="G35" s="211" t="str">
        <f>IFERROR(VLOOKUP(F35,[2]Реестр!A:K,2,0),"")</f>
        <v>100</v>
      </c>
      <c r="H35" s="206">
        <v>50</v>
      </c>
      <c r="I35" s="207">
        <v>4.5</v>
      </c>
      <c r="J35" s="212"/>
    </row>
    <row r="36" spans="1:12" ht="18.75" x14ac:dyDescent="0.3">
      <c r="A36" s="209">
        <v>3.3</v>
      </c>
      <c r="B36" s="209">
        <v>0.6</v>
      </c>
      <c r="C36" s="209">
        <v>16.7</v>
      </c>
      <c r="D36" s="209">
        <v>96.5</v>
      </c>
      <c r="E36" s="210" t="s">
        <v>471</v>
      </c>
      <c r="F36" s="217" t="s">
        <v>65</v>
      </c>
      <c r="G36" s="211" t="str">
        <f>IFERROR(VLOOKUP(F36,[2]Реестр!A:K,2,0),"")</f>
        <v>100</v>
      </c>
      <c r="H36" s="206">
        <v>50</v>
      </c>
      <c r="I36" s="207">
        <v>4.5</v>
      </c>
      <c r="J36" s="352"/>
    </row>
    <row r="37" spans="1:12" ht="18.75" x14ac:dyDescent="0.3">
      <c r="A37" s="209"/>
      <c r="B37" s="209"/>
      <c r="C37" s="209"/>
      <c r="D37" s="209"/>
      <c r="E37" s="218"/>
      <c r="F37" s="217"/>
      <c r="G37" s="211"/>
      <c r="H37" s="206"/>
      <c r="I37" s="207"/>
      <c r="J37" s="352"/>
    </row>
    <row r="38" spans="1:12" ht="18.75" x14ac:dyDescent="0.3">
      <c r="A38" s="453" t="s">
        <v>16</v>
      </c>
      <c r="B38" s="454"/>
      <c r="C38" s="454"/>
      <c r="D38" s="454"/>
      <c r="E38" s="454"/>
      <c r="F38" s="455"/>
      <c r="G38" s="205"/>
      <c r="H38" s="206"/>
      <c r="I38" s="207">
        <f>SUM(I31:I37)</f>
        <v>192.83999999999997</v>
      </c>
      <c r="J38" s="206">
        <v>192.84</v>
      </c>
      <c r="K38" s="208">
        <f>I38-J38</f>
        <v>0</v>
      </c>
    </row>
    <row r="39" spans="1:12" ht="18.75" x14ac:dyDescent="0.3">
      <c r="A39" s="462" t="s">
        <v>18</v>
      </c>
      <c r="B39" s="462"/>
      <c r="C39" s="462"/>
      <c r="D39" s="462"/>
      <c r="E39" s="462"/>
      <c r="F39" s="462"/>
      <c r="G39" s="462"/>
      <c r="H39" s="462"/>
      <c r="I39" s="462"/>
      <c r="J39" s="352"/>
    </row>
    <row r="40" spans="1:12" ht="18.75" x14ac:dyDescent="0.3">
      <c r="A40" s="462" t="s">
        <v>19</v>
      </c>
      <c r="B40" s="462"/>
      <c r="C40" s="462"/>
      <c r="D40" s="462"/>
      <c r="E40" s="462"/>
      <c r="F40" s="462"/>
      <c r="G40" s="462"/>
      <c r="H40" s="462"/>
      <c r="I40" s="462"/>
      <c r="J40" s="352"/>
    </row>
    <row r="41" spans="1:12" ht="18.75" x14ac:dyDescent="0.3">
      <c r="A41" s="209">
        <f>IFERROR(VLOOKUP(F41,[1]Реестр!A:K,3,0)*H41/G41,"")</f>
        <v>3.84</v>
      </c>
      <c r="B41" s="209">
        <f>IFERROR(VLOOKUP(F41,[1]Реестр!A:K,4,0)*H41/G41,"")</f>
        <v>10.1</v>
      </c>
      <c r="C41" s="209">
        <f>IFERROR(VLOOKUP(F41,[1]Реестр!A:K,5,0)*H41/G41,"")</f>
        <v>9.77</v>
      </c>
      <c r="D41" s="209">
        <f>IFERROR(VLOOKUP(F41,[1]Реестр!A:K,6,0)*H41/G41,"")</f>
        <v>145.38300000000001</v>
      </c>
      <c r="E41" s="210" t="str">
        <f>IFERROR(VLOOKUP(F41,[1]Реестр!A:K,11,0),"")</f>
        <v>1*57</v>
      </c>
      <c r="F41" s="355" t="s">
        <v>106</v>
      </c>
      <c r="G41" s="211" t="str">
        <f>IFERROR(VLOOKUP(F41,[1]Реестр!A:K,2,0),"")</f>
        <v>40</v>
      </c>
      <c r="H41" s="210">
        <v>40</v>
      </c>
      <c r="I41" s="207">
        <v>26.85</v>
      </c>
      <c r="J41" s="352" t="s">
        <v>20</v>
      </c>
    </row>
    <row r="42" spans="1:12" ht="18.75" x14ac:dyDescent="0.3">
      <c r="A42" s="209">
        <v>9.75</v>
      </c>
      <c r="B42" s="209">
        <v>12.14</v>
      </c>
      <c r="C42" s="209">
        <v>36.06</v>
      </c>
      <c r="D42" s="209">
        <v>291.64</v>
      </c>
      <c r="E42" s="349" t="str">
        <f>"2/57"</f>
        <v>2/57</v>
      </c>
      <c r="F42" s="349" t="s">
        <v>665</v>
      </c>
      <c r="G42" s="211" t="str">
        <f>IFERROR(VLOOKUP(F42,[1]Реестр!A:K,2,0),"")</f>
        <v/>
      </c>
      <c r="H42" s="210">
        <v>210</v>
      </c>
      <c r="I42" s="207">
        <v>38.270000000000003</v>
      </c>
      <c r="J42" s="352" t="s">
        <v>537</v>
      </c>
      <c r="K42" s="237"/>
      <c r="L42" s="237"/>
    </row>
    <row r="43" spans="1:12" ht="18.75" x14ac:dyDescent="0.3">
      <c r="A43" s="209">
        <f>IFERROR(VLOOKUP(F43,[1]Реестр!A:K,3,0)*H43/G43,"")</f>
        <v>0.15</v>
      </c>
      <c r="B43" s="209">
        <f>IFERROR(VLOOKUP(F43,[1]Реестр!A:K,4,0)*H43/G43,"")</f>
        <v>0.09</v>
      </c>
      <c r="C43" s="209">
        <f>IFERROR(VLOOKUP(F43,[1]Реестр!A:K,5,0)*H43/G43,"")</f>
        <v>8.58</v>
      </c>
      <c r="D43" s="209">
        <f>IFERROR(VLOOKUP(F43,[1]Реестр!A:K,6,0)*H43/G43,"")</f>
        <v>34.799999999999997</v>
      </c>
      <c r="E43" s="210" t="str">
        <f>IFERROR(VLOOKUP(F43,[1]Реестр!A:K,11,0),"")</f>
        <v>12*2</v>
      </c>
      <c r="F43" s="356" t="s">
        <v>371</v>
      </c>
      <c r="G43" s="211" t="str">
        <f>IFERROR(VLOOKUP(F43,[1]Реестр!A:K,2,0),"")</f>
        <v>100</v>
      </c>
      <c r="H43" s="210">
        <v>30</v>
      </c>
      <c r="I43" s="207">
        <v>17.559999999999999</v>
      </c>
      <c r="J43" s="352" t="s">
        <v>477</v>
      </c>
      <c r="K43" s="237"/>
      <c r="L43" s="237"/>
    </row>
    <row r="44" spans="1:12" ht="18.75" x14ac:dyDescent="0.3">
      <c r="A44" s="209">
        <f>IFERROR(VLOOKUP(F44,[1]Реестр!A:K,3,0)*H44/G44,"")</f>
        <v>1.4</v>
      </c>
      <c r="B44" s="209">
        <f>IFERROR(VLOOKUP(F44,[1]Реестр!A:K,4,0)*H44/G44,"")</f>
        <v>1.1000000000000001</v>
      </c>
      <c r="C44" s="209">
        <f>IFERROR(VLOOKUP(F44,[1]Реестр!A:K,5,0)*H44/G44,"")</f>
        <v>16.600000000000001</v>
      </c>
      <c r="D44" s="209">
        <f>IFERROR(VLOOKUP(F44,[1]Реестр!A:K,6,0)*H44/G44,"")</f>
        <v>79</v>
      </c>
      <c r="E44" s="349" t="str">
        <f>"11/59"</f>
        <v>11/59</v>
      </c>
      <c r="F44" s="349" t="s">
        <v>357</v>
      </c>
      <c r="G44" s="211" t="str">
        <f>IFERROR(VLOOKUP(F44,[1]Реестр!A:K,2,0),"")</f>
        <v>200</v>
      </c>
      <c r="H44" s="206">
        <v>200</v>
      </c>
      <c r="I44" s="207">
        <v>24.16</v>
      </c>
      <c r="J44" s="352" t="s">
        <v>479</v>
      </c>
      <c r="K44" s="237"/>
      <c r="L44" s="237"/>
    </row>
    <row r="45" spans="1:12" ht="18.75" x14ac:dyDescent="0.3">
      <c r="A45" s="209">
        <f>IFERROR(VLOOKUP(F45,[1]Реестр!A:K,3,0)*H45/G45,"")</f>
        <v>1.32</v>
      </c>
      <c r="B45" s="209">
        <f>IFERROR(VLOOKUP(F45,[1]Реестр!A:K,4,0)*H45/G45,"")</f>
        <v>0.24</v>
      </c>
      <c r="C45" s="209">
        <f>IFERROR(VLOOKUP(F45,[1]Реестр!A:K,5,0)*H45/G45,"")</f>
        <v>6.68</v>
      </c>
      <c r="D45" s="209">
        <f>IFERROR(VLOOKUP(F45,[1]Реестр!A:K,6,0)*H45/G45,"")</f>
        <v>38.6</v>
      </c>
      <c r="E45" s="210" t="str">
        <f>IFERROR(VLOOKUP(F45,[1]Реестр!A:K,11,0),"")</f>
        <v>-</v>
      </c>
      <c r="F45" s="217" t="s">
        <v>65</v>
      </c>
      <c r="G45" s="211" t="str">
        <f>IFERROR(VLOOKUP(F45,[1]Реестр!A:K,2,0),"")</f>
        <v>100</v>
      </c>
      <c r="H45" s="206">
        <v>20</v>
      </c>
      <c r="I45" s="207">
        <v>1.8</v>
      </c>
      <c r="J45" s="352" t="s">
        <v>475</v>
      </c>
      <c r="K45" s="238"/>
      <c r="L45" s="237"/>
    </row>
    <row r="46" spans="1:12" ht="18.75" x14ac:dyDescent="0.3">
      <c r="A46" s="465" t="s">
        <v>25</v>
      </c>
      <c r="B46" s="466"/>
      <c r="C46" s="466"/>
      <c r="D46" s="466"/>
      <c r="E46" s="466"/>
      <c r="F46" s="466"/>
      <c r="G46" s="466"/>
      <c r="H46" s="466"/>
      <c r="I46" s="467"/>
      <c r="J46" s="352"/>
    </row>
    <row r="47" spans="1:12" s="234" customFormat="1" ht="30" x14ac:dyDescent="0.25">
      <c r="A47" s="367">
        <v>1.03</v>
      </c>
      <c r="B47" s="353">
        <v>4.7699999999999996</v>
      </c>
      <c r="C47" s="353">
        <v>6.38</v>
      </c>
      <c r="D47" s="353">
        <v>68.989999999999995</v>
      </c>
      <c r="E47" s="357" t="str">
        <f>"7/80"</f>
        <v>7/80</v>
      </c>
      <c r="F47" s="228" t="s">
        <v>678</v>
      </c>
      <c r="G47" s="211" t="str">
        <f>IFERROR(VLOOKUP(F47,[2]Реестр!A:K,2,0),"")</f>
        <v/>
      </c>
      <c r="H47" s="210">
        <v>80</v>
      </c>
      <c r="I47" s="230">
        <v>21.73</v>
      </c>
      <c r="J47" s="239" t="s">
        <v>538</v>
      </c>
    </row>
    <row r="48" spans="1:12" ht="18.75" x14ac:dyDescent="0.3">
      <c r="A48" s="263">
        <v>5.55</v>
      </c>
      <c r="B48" s="263">
        <v>7.8</v>
      </c>
      <c r="C48" s="263">
        <v>15.95</v>
      </c>
      <c r="D48" s="263">
        <v>199.78905478333331</v>
      </c>
      <c r="E48" s="350" t="str">
        <f>"6/70"</f>
        <v>6/70</v>
      </c>
      <c r="F48" s="350" t="s">
        <v>220</v>
      </c>
      <c r="G48" s="211" t="str">
        <f>IFERROR(VLOOKUP(F48,[2]Реестр!A:K,2,0),"")</f>
        <v>300</v>
      </c>
      <c r="H48" s="206">
        <v>250</v>
      </c>
      <c r="I48" s="207">
        <v>42</v>
      </c>
      <c r="J48" s="352" t="s">
        <v>478</v>
      </c>
    </row>
    <row r="49" spans="1:11" ht="18.75" x14ac:dyDescent="0.3">
      <c r="A49" s="263">
        <v>16.579999999999998</v>
      </c>
      <c r="B49" s="263">
        <v>19.5</v>
      </c>
      <c r="C49" s="263">
        <v>68.38</v>
      </c>
      <c r="D49" s="263">
        <v>327.07</v>
      </c>
      <c r="E49" s="349" t="str">
        <f>"8/35"</f>
        <v>8/35</v>
      </c>
      <c r="F49" s="349" t="s">
        <v>549</v>
      </c>
      <c r="G49" s="211" t="str">
        <f>IFERROR(VLOOKUP(F49,[2]Реестр!A:K,2,0),"")</f>
        <v/>
      </c>
      <c r="H49" s="206">
        <v>200</v>
      </c>
      <c r="I49" s="206">
        <v>87.64</v>
      </c>
      <c r="J49" s="352" t="s">
        <v>537</v>
      </c>
    </row>
    <row r="50" spans="1:11" ht="18.75" x14ac:dyDescent="0.3">
      <c r="A50" s="263">
        <v>0.14000000000000001</v>
      </c>
      <c r="B50" s="263">
        <v>0.1</v>
      </c>
      <c r="C50" s="263">
        <v>1.5</v>
      </c>
      <c r="D50" s="263">
        <v>83.962620000000015</v>
      </c>
      <c r="E50" s="349" t="str">
        <f>"11/1"</f>
        <v>11/1</v>
      </c>
      <c r="F50" s="349" t="s">
        <v>317</v>
      </c>
      <c r="G50" s="211">
        <f>IFERROR(VLOOKUP(F50,[2]Реестр!A:K,2,0),"")</f>
        <v>200</v>
      </c>
      <c r="H50" s="206">
        <v>200</v>
      </c>
      <c r="I50" s="207">
        <v>4.38</v>
      </c>
      <c r="J50" s="352" t="s">
        <v>29</v>
      </c>
    </row>
    <row r="51" spans="1:11" ht="18.75" x14ac:dyDescent="0.3">
      <c r="A51" s="209">
        <v>2.64</v>
      </c>
      <c r="B51" s="209">
        <v>0.24</v>
      </c>
      <c r="C51" s="209">
        <v>18.72</v>
      </c>
      <c r="D51" s="209">
        <v>89.6</v>
      </c>
      <c r="E51" s="210" t="s">
        <v>471</v>
      </c>
      <c r="F51" s="217" t="s">
        <v>66</v>
      </c>
      <c r="G51" s="211" t="str">
        <f>IFERROR(VLOOKUP(F51,[2]Реестр!A:K,2,0),"")</f>
        <v>100</v>
      </c>
      <c r="H51" s="206">
        <v>40</v>
      </c>
      <c r="I51" s="207">
        <v>3.6</v>
      </c>
      <c r="J51" s="352" t="s">
        <v>479</v>
      </c>
    </row>
    <row r="52" spans="1:11" ht="18.75" x14ac:dyDescent="0.3">
      <c r="A52" s="209">
        <v>2.64</v>
      </c>
      <c r="B52" s="209">
        <v>0.48</v>
      </c>
      <c r="C52" s="209">
        <v>13.36</v>
      </c>
      <c r="D52" s="209">
        <v>77.2</v>
      </c>
      <c r="E52" s="210" t="s">
        <v>471</v>
      </c>
      <c r="F52" s="217" t="s">
        <v>65</v>
      </c>
      <c r="G52" s="211" t="str">
        <f>IFERROR(VLOOKUP(F52,[2]Реестр!A:K,2,0),"")</f>
        <v>100</v>
      </c>
      <c r="H52" s="206">
        <v>40</v>
      </c>
      <c r="I52" s="207">
        <v>3.6</v>
      </c>
      <c r="J52" s="352" t="s">
        <v>539</v>
      </c>
    </row>
    <row r="53" spans="1:11" ht="18.75" x14ac:dyDescent="0.3">
      <c r="A53" s="209"/>
      <c r="B53" s="209"/>
      <c r="C53" s="209"/>
      <c r="D53" s="209"/>
      <c r="E53" s="218"/>
      <c r="F53" s="217"/>
      <c r="G53" s="211"/>
      <c r="H53" s="206"/>
      <c r="I53" s="207"/>
      <c r="J53" s="352" t="s">
        <v>540</v>
      </c>
    </row>
    <row r="54" spans="1:11" ht="18.75" x14ac:dyDescent="0.3">
      <c r="A54" s="464" t="s">
        <v>16</v>
      </c>
      <c r="B54" s="464"/>
      <c r="C54" s="464"/>
      <c r="D54" s="464"/>
      <c r="E54" s="464"/>
      <c r="F54" s="464"/>
      <c r="G54" s="206"/>
      <c r="H54" s="206"/>
      <c r="I54" s="207">
        <f>SUM(I41:I45,I47:I53)</f>
        <v>271.59000000000003</v>
      </c>
      <c r="J54" s="206">
        <v>271.58999999999997</v>
      </c>
      <c r="K54" s="208">
        <f>I54-J54</f>
        <v>0</v>
      </c>
    </row>
    <row r="55" spans="1:11" ht="18.75" x14ac:dyDescent="0.3">
      <c r="A55" s="465" t="s">
        <v>33</v>
      </c>
      <c r="B55" s="466"/>
      <c r="C55" s="466"/>
      <c r="D55" s="466"/>
      <c r="E55" s="466"/>
      <c r="F55" s="466"/>
      <c r="G55" s="466"/>
      <c r="H55" s="466"/>
      <c r="I55" s="467"/>
      <c r="J55" s="352"/>
    </row>
    <row r="56" spans="1:11" ht="18.75" x14ac:dyDescent="0.3">
      <c r="A56" s="465" t="s">
        <v>19</v>
      </c>
      <c r="B56" s="466"/>
      <c r="C56" s="466"/>
      <c r="D56" s="466"/>
      <c r="E56" s="466"/>
      <c r="F56" s="466"/>
      <c r="G56" s="466"/>
      <c r="H56" s="466"/>
      <c r="I56" s="467"/>
      <c r="J56" s="352"/>
    </row>
    <row r="57" spans="1:11" ht="18.75" x14ac:dyDescent="0.3">
      <c r="A57" s="209">
        <f>IFERROR(VLOOKUP(F57,[1]Реестр!A:K,3,0)*H57/G57,"")</f>
        <v>5.08</v>
      </c>
      <c r="B57" s="209">
        <f>IFERROR(VLOOKUP(F57,[1]Реестр!A:K,4,0)*H57/G57,"")</f>
        <v>11.55</v>
      </c>
      <c r="C57" s="209">
        <f>IFERROR(VLOOKUP(F57,[1]Реестр!A:K,5,0)*H57/G57,"")</f>
        <v>9.9700000000000006</v>
      </c>
      <c r="D57" s="209">
        <f>IFERROR(VLOOKUP(F57,[1]Реестр!A:K,6,0)*H57/G57,"")</f>
        <v>164.15</v>
      </c>
      <c r="E57" s="210" t="str">
        <f>IFERROR(VLOOKUP(F57,[1]Реестр!A:K,11,0),"")</f>
        <v>1*51</v>
      </c>
      <c r="F57" s="356" t="s">
        <v>91</v>
      </c>
      <c r="G57" s="211" t="str">
        <f>IFERROR(VLOOKUP(F57,[1]Реестр!A:K,2,0),"")</f>
        <v>45</v>
      </c>
      <c r="H57" s="206">
        <v>45</v>
      </c>
      <c r="I57" s="207">
        <v>35.799999999999997</v>
      </c>
      <c r="J57" s="352" t="s">
        <v>20</v>
      </c>
    </row>
    <row r="58" spans="1:11" ht="18.75" x14ac:dyDescent="0.3">
      <c r="A58" s="347">
        <v>10.61</v>
      </c>
      <c r="B58" s="347">
        <v>10.17</v>
      </c>
      <c r="C58" s="347">
        <v>47.32</v>
      </c>
      <c r="D58" s="347">
        <v>321.17797790000003</v>
      </c>
      <c r="E58" s="349" t="str">
        <f>"2/57"</f>
        <v>2/57</v>
      </c>
      <c r="F58" s="349" t="s">
        <v>665</v>
      </c>
      <c r="G58" s="211" t="str">
        <f>IFERROR(VLOOKUP(F58,[1]Реестр!A:K,2,0),"")</f>
        <v/>
      </c>
      <c r="H58" s="210">
        <v>250</v>
      </c>
      <c r="I58" s="207">
        <v>41.59</v>
      </c>
      <c r="J58" s="352" t="s">
        <v>537</v>
      </c>
    </row>
    <row r="59" spans="1:11" ht="18.75" x14ac:dyDescent="0.3">
      <c r="A59" s="209">
        <f>IFERROR(VLOOKUP(F59,[1]Реестр!A:K,3,0)*H59/G59,"")</f>
        <v>0.2</v>
      </c>
      <c r="B59" s="209">
        <f>IFERROR(VLOOKUP(F59,[1]Реестр!A:K,4,0)*H59/G59,"")</f>
        <v>0.12</v>
      </c>
      <c r="C59" s="209">
        <f>IFERROR(VLOOKUP(F59,[1]Реестр!A:K,5,0)*H59/G59,"")</f>
        <v>11.44</v>
      </c>
      <c r="D59" s="209">
        <f>IFERROR(VLOOKUP(F59,[1]Реестр!A:K,6,0)*H59/G59,"")</f>
        <v>46.4</v>
      </c>
      <c r="E59" s="210" t="str">
        <f>IFERROR(VLOOKUP(F59,[1]Реестр!A:K,11,0),"")</f>
        <v>12*2</v>
      </c>
      <c r="F59" s="356" t="s">
        <v>371</v>
      </c>
      <c r="G59" s="211" t="str">
        <f>IFERROR(VLOOKUP(F59,[1]Реестр!A:K,2,0),"")</f>
        <v>100</v>
      </c>
      <c r="H59" s="210">
        <v>40</v>
      </c>
      <c r="I59" s="207">
        <v>23.41</v>
      </c>
      <c r="J59" s="352" t="s">
        <v>477</v>
      </c>
    </row>
    <row r="60" spans="1:11" ht="18.75" x14ac:dyDescent="0.3">
      <c r="A60" s="209">
        <f>IFERROR(VLOOKUP(F60,[1]Реестр!A:K,3,0)*H60/G60,"")</f>
        <v>1.4</v>
      </c>
      <c r="B60" s="209">
        <f>IFERROR(VLOOKUP(F60,[1]Реестр!A:K,4,0)*H60/G60,"")</f>
        <v>1.1000000000000001</v>
      </c>
      <c r="C60" s="209">
        <f>IFERROR(VLOOKUP(F60,[1]Реестр!A:K,5,0)*H60/G60,"")</f>
        <v>16.600000000000001</v>
      </c>
      <c r="D60" s="209">
        <f>IFERROR(VLOOKUP(F60,[1]Реестр!A:K,6,0)*H60/G60,"")</f>
        <v>79</v>
      </c>
      <c r="E60" s="349" t="str">
        <f>"11/59"</f>
        <v>11/59</v>
      </c>
      <c r="F60" s="349" t="s">
        <v>357</v>
      </c>
      <c r="G60" s="211" t="str">
        <f>IFERROR(VLOOKUP(F60,[1]Реестр!A:K,2,0),"")</f>
        <v>200</v>
      </c>
      <c r="H60" s="206">
        <v>200</v>
      </c>
      <c r="I60" s="207">
        <v>24.16</v>
      </c>
      <c r="J60" s="352" t="s">
        <v>541</v>
      </c>
      <c r="K60" s="237"/>
    </row>
    <row r="61" spans="1:11" ht="18.75" x14ac:dyDescent="0.3">
      <c r="A61" s="209">
        <f>IFERROR(VLOOKUP(F61,[1]Реестр!A:K,3,0)*H61/G61,"")</f>
        <v>2.64</v>
      </c>
      <c r="B61" s="209">
        <f>IFERROR(VLOOKUP(F61,[1]Реестр!A:K,4,0)*H61/G61,"")</f>
        <v>0.48</v>
      </c>
      <c r="C61" s="209">
        <f>IFERROR(VLOOKUP(F61,[1]Реестр!A:K,5,0)*H61/G61,"")</f>
        <v>13.36</v>
      </c>
      <c r="D61" s="209">
        <f>IFERROR(VLOOKUP(F61,[1]Реестр!A:K,6,0)*H61/G61,"")</f>
        <v>77.2</v>
      </c>
      <c r="E61" s="210" t="str">
        <f>IFERROR(VLOOKUP(F61,[1]Реестр!A:K,11,0),"")</f>
        <v>-</v>
      </c>
      <c r="F61" s="217" t="s">
        <v>65</v>
      </c>
      <c r="G61" s="211" t="str">
        <f>IFERROR(VLOOKUP(F61,[1]Реестр!A:K,2,0),"")</f>
        <v>100</v>
      </c>
      <c r="H61" s="206">
        <v>40</v>
      </c>
      <c r="I61" s="207">
        <v>3.6</v>
      </c>
      <c r="J61" s="352" t="s">
        <v>475</v>
      </c>
      <c r="K61" s="237"/>
    </row>
    <row r="62" spans="1:11" ht="18.75" x14ac:dyDescent="0.3">
      <c r="A62" s="465" t="s">
        <v>25</v>
      </c>
      <c r="B62" s="466"/>
      <c r="C62" s="466"/>
      <c r="D62" s="466"/>
      <c r="E62" s="466"/>
      <c r="F62" s="466"/>
      <c r="G62" s="466"/>
      <c r="H62" s="466"/>
      <c r="I62" s="467"/>
      <c r="J62" s="201" t="str">
        <f>IFERROR(VLOOKUP(O62,Реестр!#REF!,3,0)*Q62/P62,"")</f>
        <v/>
      </c>
      <c r="K62" s="237"/>
    </row>
    <row r="63" spans="1:11" s="234" customFormat="1" ht="18.75" x14ac:dyDescent="0.25">
      <c r="A63" s="368">
        <v>1.29</v>
      </c>
      <c r="B63" s="368">
        <v>5.97</v>
      </c>
      <c r="C63" s="368">
        <v>7.97</v>
      </c>
      <c r="D63" s="368">
        <v>86.23</v>
      </c>
      <c r="E63" s="357" t="str">
        <f>"7/80"</f>
        <v>7/80</v>
      </c>
      <c r="F63" s="228" t="s">
        <v>680</v>
      </c>
      <c r="G63" s="211" t="str">
        <f>IFERROR(VLOOKUP(F63,[2]Реестр!A:K,2,0),"")</f>
        <v/>
      </c>
      <c r="H63" s="210">
        <v>100</v>
      </c>
      <c r="I63" s="230">
        <v>27.91</v>
      </c>
      <c r="J63" s="239" t="s">
        <v>538</v>
      </c>
      <c r="K63" s="240"/>
    </row>
    <row r="64" spans="1:11" ht="18.75" x14ac:dyDescent="0.3">
      <c r="A64" s="263">
        <v>12.44</v>
      </c>
      <c r="B64" s="263">
        <v>7.77</v>
      </c>
      <c r="C64" s="263">
        <v>25.16</v>
      </c>
      <c r="D64" s="263">
        <v>208</v>
      </c>
      <c r="E64" s="267" t="str">
        <f>"6/70"</f>
        <v>6/70</v>
      </c>
      <c r="F64" s="267" t="s">
        <v>220</v>
      </c>
      <c r="G64" s="211" t="str">
        <f>IFERROR(VLOOKUP(F64,[2]Реестр!A:K,2,0),"")</f>
        <v>300</v>
      </c>
      <c r="H64" s="206">
        <v>250</v>
      </c>
      <c r="I64" s="207">
        <v>42</v>
      </c>
      <c r="J64" s="352" t="s">
        <v>478</v>
      </c>
      <c r="K64" s="237"/>
    </row>
    <row r="65" spans="1:12" ht="18.75" x14ac:dyDescent="0.3">
      <c r="A65" s="348">
        <v>19.440000000000001</v>
      </c>
      <c r="B65" s="348">
        <v>21.37</v>
      </c>
      <c r="C65" s="348">
        <v>55.36</v>
      </c>
      <c r="D65" s="348">
        <v>508.5</v>
      </c>
      <c r="E65" s="349" t="str">
        <f>"8/35"</f>
        <v>8/35</v>
      </c>
      <c r="F65" s="349" t="s">
        <v>549</v>
      </c>
      <c r="G65" s="211" t="str">
        <f>IFERROR(VLOOKUP(F65,[2]Реестр!A:K,2,0),"")</f>
        <v/>
      </c>
      <c r="H65" s="206">
        <v>250</v>
      </c>
      <c r="I65" s="206">
        <v>109.55</v>
      </c>
      <c r="J65" s="352" t="s">
        <v>537</v>
      </c>
      <c r="K65" s="237"/>
    </row>
    <row r="66" spans="1:12" ht="18.75" x14ac:dyDescent="0.3">
      <c r="A66" s="263">
        <v>0.14000000000000001</v>
      </c>
      <c r="B66" s="263">
        <v>0.1</v>
      </c>
      <c r="C66" s="263">
        <v>1.5</v>
      </c>
      <c r="D66" s="263">
        <v>83.962620000000015</v>
      </c>
      <c r="E66" s="349" t="str">
        <f>"11/1"</f>
        <v>11/1</v>
      </c>
      <c r="F66" s="349" t="s">
        <v>317</v>
      </c>
      <c r="G66" s="211">
        <f>IFERROR(VLOOKUP(F66,[2]Реестр!A:K,2,0),"")</f>
        <v>200</v>
      </c>
      <c r="H66" s="206">
        <v>200</v>
      </c>
      <c r="I66" s="207">
        <v>4.38</v>
      </c>
      <c r="J66" s="352" t="s">
        <v>29</v>
      </c>
      <c r="K66" s="237"/>
    </row>
    <row r="67" spans="1:12" ht="18.75" x14ac:dyDescent="0.3">
      <c r="A67" s="209">
        <v>3.3</v>
      </c>
      <c r="B67" s="209">
        <v>0.3</v>
      </c>
      <c r="C67" s="209">
        <v>23.4</v>
      </c>
      <c r="D67" s="209">
        <v>112</v>
      </c>
      <c r="E67" s="210" t="s">
        <v>471</v>
      </c>
      <c r="F67" s="217" t="s">
        <v>66</v>
      </c>
      <c r="G67" s="211" t="str">
        <f>IFERROR(VLOOKUP(F67,[2]Реестр!A:K,2,0),"")</f>
        <v>100</v>
      </c>
      <c r="H67" s="206">
        <v>50</v>
      </c>
      <c r="I67" s="207">
        <v>4.5</v>
      </c>
      <c r="J67" s="352" t="s">
        <v>479</v>
      </c>
      <c r="K67" s="208"/>
    </row>
    <row r="68" spans="1:12" ht="18.75" x14ac:dyDescent="0.3">
      <c r="A68" s="209">
        <v>3.3</v>
      </c>
      <c r="B68" s="209">
        <v>0.6</v>
      </c>
      <c r="C68" s="209">
        <v>16.7</v>
      </c>
      <c r="D68" s="209">
        <v>96.5</v>
      </c>
      <c r="E68" s="210" t="s">
        <v>471</v>
      </c>
      <c r="F68" s="217" t="s">
        <v>65</v>
      </c>
      <c r="G68" s="211" t="str">
        <f>IFERROR(VLOOKUP(F68,[2]Реестр!A:K,2,0),"")</f>
        <v>100</v>
      </c>
      <c r="H68" s="206">
        <v>50</v>
      </c>
      <c r="I68" s="207">
        <v>4.5</v>
      </c>
      <c r="J68" s="352" t="s">
        <v>23</v>
      </c>
    </row>
    <row r="69" spans="1:12" ht="18.75" x14ac:dyDescent="0.3">
      <c r="A69" s="209"/>
      <c r="B69" s="209"/>
      <c r="C69" s="209"/>
      <c r="D69" s="209"/>
      <c r="E69" s="218"/>
      <c r="F69" s="217"/>
      <c r="G69" s="211"/>
      <c r="H69" s="206"/>
      <c r="I69" s="207"/>
      <c r="J69" s="352" t="s">
        <v>540</v>
      </c>
    </row>
    <row r="70" spans="1:12" ht="18" customHeight="1" x14ac:dyDescent="0.3">
      <c r="A70" s="464" t="s">
        <v>16</v>
      </c>
      <c r="B70" s="464"/>
      <c r="C70" s="464"/>
      <c r="D70" s="464"/>
      <c r="E70" s="464"/>
      <c r="F70" s="464"/>
      <c r="G70" s="206"/>
      <c r="H70" s="206"/>
      <c r="I70" s="207">
        <f>SUM(I57:I61)+SUM(I63:I69)</f>
        <v>321.39999999999998</v>
      </c>
      <c r="J70" s="201">
        <v>321.39999999999998</v>
      </c>
      <c r="K70" s="208">
        <f>J70-I70</f>
        <v>0</v>
      </c>
    </row>
    <row r="71" spans="1:12" ht="18.75" x14ac:dyDescent="0.3">
      <c r="A71" s="465" t="s">
        <v>34</v>
      </c>
      <c r="B71" s="466"/>
      <c r="C71" s="466"/>
      <c r="D71" s="466"/>
      <c r="E71" s="466"/>
      <c r="F71" s="466"/>
      <c r="G71" s="466"/>
      <c r="H71" s="466"/>
      <c r="I71" s="467"/>
      <c r="J71" s="206"/>
      <c r="K71" s="208"/>
    </row>
    <row r="72" spans="1:12" ht="18.75" x14ac:dyDescent="0.25">
      <c r="A72" s="369">
        <v>0.24</v>
      </c>
      <c r="B72" s="369">
        <v>0.03</v>
      </c>
      <c r="C72" s="369">
        <v>0.74</v>
      </c>
      <c r="D72" s="369">
        <v>4.2</v>
      </c>
      <c r="E72" s="370" t="str">
        <f>"7/10"</f>
        <v>7/10</v>
      </c>
      <c r="F72" s="265" t="s">
        <v>679</v>
      </c>
      <c r="G72" s="211" t="str">
        <f>IFERROR(VLOOKUP(F72,[1]Реестр!A:K,2,0),"")</f>
        <v/>
      </c>
      <c r="H72" s="210">
        <v>30</v>
      </c>
      <c r="I72" s="230">
        <v>7.43</v>
      </c>
    </row>
    <row r="73" spans="1:12" ht="18.75" x14ac:dyDescent="0.3">
      <c r="A73" s="348">
        <v>19.440000000000001</v>
      </c>
      <c r="B73" s="348">
        <v>21.37</v>
      </c>
      <c r="C73" s="348">
        <v>55.36</v>
      </c>
      <c r="D73" s="348">
        <v>508.5</v>
      </c>
      <c r="E73" s="349" t="str">
        <f>"8/35"</f>
        <v>8/35</v>
      </c>
      <c r="F73" s="349" t="s">
        <v>549</v>
      </c>
      <c r="G73" s="211" t="str">
        <f>IFERROR(VLOOKUP(F73,[2]Реестр!A:K,2,0),"")</f>
        <v/>
      </c>
      <c r="H73" s="206">
        <v>250</v>
      </c>
      <c r="I73" s="206">
        <v>109.55</v>
      </c>
    </row>
    <row r="74" spans="1:12" ht="18.75" x14ac:dyDescent="0.3">
      <c r="A74" s="263">
        <v>0.14000000000000001</v>
      </c>
      <c r="B74" s="263">
        <v>0.1</v>
      </c>
      <c r="C74" s="263">
        <v>1.5</v>
      </c>
      <c r="D74" s="263">
        <v>83.962620000000015</v>
      </c>
      <c r="E74" s="349" t="str">
        <f>"11/1"</f>
        <v>11/1</v>
      </c>
      <c r="F74" s="349" t="s">
        <v>317</v>
      </c>
      <c r="G74" s="211">
        <f>IFERROR(VLOOKUP(F74,[2]Реестр!A:K,2,0),"")</f>
        <v>200</v>
      </c>
      <c r="H74" s="206">
        <v>200</v>
      </c>
      <c r="I74" s="207">
        <v>4.38</v>
      </c>
    </row>
    <row r="75" spans="1:12" ht="18.75" x14ac:dyDescent="0.3">
      <c r="A75" s="209">
        <v>2.64</v>
      </c>
      <c r="B75" s="209">
        <v>0.24</v>
      </c>
      <c r="C75" s="209">
        <v>18.72</v>
      </c>
      <c r="D75" s="209">
        <v>89.6</v>
      </c>
      <c r="E75" s="210" t="s">
        <v>471</v>
      </c>
      <c r="F75" s="217" t="s">
        <v>66</v>
      </c>
      <c r="G75" s="211" t="str">
        <f>IFERROR(VLOOKUP(F75,[2]Реестр!A:K,2,0),"")</f>
        <v>100</v>
      </c>
      <c r="H75" s="206">
        <v>40</v>
      </c>
      <c r="I75" s="207">
        <v>3.6</v>
      </c>
    </row>
    <row r="76" spans="1:12" ht="18.75" x14ac:dyDescent="0.3">
      <c r="A76" s="209">
        <v>2.64</v>
      </c>
      <c r="B76" s="209">
        <v>0.48</v>
      </c>
      <c r="C76" s="209">
        <v>13.36</v>
      </c>
      <c r="D76" s="209">
        <v>77.2</v>
      </c>
      <c r="E76" s="210" t="s">
        <v>471</v>
      </c>
      <c r="F76" s="217" t="s">
        <v>65</v>
      </c>
      <c r="G76" s="211" t="str">
        <f>IFERROR(VLOOKUP(F76,[2]Реестр!A:K,2,0),"")</f>
        <v>100</v>
      </c>
      <c r="H76" s="206">
        <v>40</v>
      </c>
      <c r="I76" s="207">
        <v>3.6</v>
      </c>
    </row>
    <row r="77" spans="1:12" ht="18.75" x14ac:dyDescent="0.3">
      <c r="A77" s="209"/>
      <c r="B77" s="209"/>
      <c r="C77" s="209"/>
      <c r="D77" s="209"/>
      <c r="E77" s="210"/>
      <c r="F77" s="217"/>
      <c r="G77" s="211"/>
      <c r="H77" s="206"/>
      <c r="I77" s="207"/>
    </row>
    <row r="78" spans="1:12" ht="18.75" x14ac:dyDescent="0.3">
      <c r="A78" s="453" t="s">
        <v>16</v>
      </c>
      <c r="B78" s="454"/>
      <c r="C78" s="454"/>
      <c r="D78" s="454"/>
      <c r="E78" s="454"/>
      <c r="F78" s="455"/>
      <c r="G78" s="205"/>
      <c r="H78" s="206"/>
      <c r="I78" s="207">
        <f>SUM(I72:I77)</f>
        <v>128.55999999999997</v>
      </c>
      <c r="J78" s="215">
        <v>128.56</v>
      </c>
      <c r="L78" s="208">
        <f>J78-I78</f>
        <v>0</v>
      </c>
    </row>
    <row r="79" spans="1:12" ht="18.75" hidden="1" x14ac:dyDescent="0.25">
      <c r="A79" s="477" t="s">
        <v>35</v>
      </c>
      <c r="B79" s="478"/>
      <c r="C79" s="478"/>
      <c r="D79" s="478"/>
      <c r="E79" s="478"/>
      <c r="F79" s="478"/>
      <c r="G79" s="478"/>
      <c r="H79" s="478"/>
      <c r="I79" s="479"/>
    </row>
    <row r="80" spans="1:12" ht="18.75" hidden="1" x14ac:dyDescent="0.3">
      <c r="A80" s="219">
        <v>7.7</v>
      </c>
      <c r="B80" s="219">
        <v>7.42</v>
      </c>
      <c r="C80" s="219">
        <v>32.090000000000003</v>
      </c>
      <c r="D80" s="219">
        <v>225.88</v>
      </c>
      <c r="E80" s="261" t="s">
        <v>408</v>
      </c>
      <c r="F80" s="356" t="s">
        <v>605</v>
      </c>
      <c r="G80" s="211" t="str">
        <f>IFERROR(VLOOKUP(F80,[2]Реестр!A:K,2,0),"")</f>
        <v/>
      </c>
      <c r="H80" s="206">
        <v>100</v>
      </c>
      <c r="I80" s="207">
        <v>42</v>
      </c>
      <c r="K80" s="208"/>
    </row>
    <row r="81" spans="1:12" ht="18.75" hidden="1" x14ac:dyDescent="0.3">
      <c r="A81" s="453" t="s">
        <v>16</v>
      </c>
      <c r="B81" s="454"/>
      <c r="C81" s="454"/>
      <c r="D81" s="454"/>
      <c r="E81" s="454"/>
      <c r="F81" s="455"/>
      <c r="G81" s="205"/>
      <c r="H81" s="206"/>
      <c r="I81" s="207">
        <f>I80</f>
        <v>42</v>
      </c>
      <c r="J81" s="215">
        <v>42</v>
      </c>
    </row>
    <row r="82" spans="1:12" ht="18.75" hidden="1" x14ac:dyDescent="0.3">
      <c r="A82" s="465" t="s">
        <v>36</v>
      </c>
      <c r="B82" s="466"/>
      <c r="C82" s="466"/>
      <c r="D82" s="466"/>
      <c r="E82" s="466"/>
      <c r="F82" s="466"/>
      <c r="G82" s="466"/>
      <c r="H82" s="466"/>
      <c r="I82" s="467"/>
    </row>
    <row r="83" spans="1:12" ht="18.75" hidden="1" x14ac:dyDescent="0.3">
      <c r="A83" s="263">
        <v>5.55</v>
      </c>
      <c r="B83" s="263">
        <v>7.8</v>
      </c>
      <c r="C83" s="263">
        <v>15.95</v>
      </c>
      <c r="D83" s="263">
        <v>199.78905478333331</v>
      </c>
      <c r="E83" s="350" t="str">
        <f>"6/70"</f>
        <v>6/70</v>
      </c>
      <c r="F83" s="350" t="s">
        <v>220</v>
      </c>
      <c r="G83" s="211" t="str">
        <f>IFERROR(VLOOKUP(F83,[2]Реестр!A:K,2,0),"")</f>
        <v>300</v>
      </c>
      <c r="H83" s="206">
        <v>250</v>
      </c>
      <c r="I83" s="207">
        <v>42</v>
      </c>
    </row>
    <row r="84" spans="1:12" ht="18.75" hidden="1" x14ac:dyDescent="0.3">
      <c r="A84" s="453" t="s">
        <v>16</v>
      </c>
      <c r="B84" s="454"/>
      <c r="C84" s="454"/>
      <c r="D84" s="454"/>
      <c r="E84" s="454"/>
      <c r="F84" s="455"/>
      <c r="G84" s="205"/>
      <c r="H84" s="206"/>
      <c r="I84" s="207">
        <f>SUM(I83:I83)</f>
        <v>42</v>
      </c>
      <c r="J84" s="215">
        <v>27</v>
      </c>
    </row>
    <row r="85" spans="1:12" ht="18.75" x14ac:dyDescent="0.3">
      <c r="A85" s="465" t="s">
        <v>503</v>
      </c>
      <c r="B85" s="466"/>
      <c r="C85" s="466"/>
      <c r="D85" s="466"/>
      <c r="E85" s="466"/>
      <c r="F85" s="466"/>
      <c r="G85" s="466"/>
      <c r="H85" s="466"/>
      <c r="I85" s="467"/>
    </row>
    <row r="86" spans="1:12" s="234" customFormat="1" ht="27" customHeight="1" x14ac:dyDescent="0.25">
      <c r="A86" s="368">
        <v>1.29</v>
      </c>
      <c r="B86" s="368">
        <v>5.97</v>
      </c>
      <c r="C86" s="368">
        <v>7.97</v>
      </c>
      <c r="D86" s="368">
        <v>86.23</v>
      </c>
      <c r="E86" s="357" t="str">
        <f>"7/80"</f>
        <v>7/80</v>
      </c>
      <c r="F86" s="228" t="s">
        <v>680</v>
      </c>
      <c r="G86" s="211" t="str">
        <f>IFERROR(VLOOKUP(F86,[2]Реестр!A:K,2,0),"")</f>
        <v/>
      </c>
      <c r="H86" s="210">
        <v>100</v>
      </c>
      <c r="I86" s="230">
        <v>27.91</v>
      </c>
      <c r="J86" s="268"/>
    </row>
    <row r="87" spans="1:12" ht="18.75" x14ac:dyDescent="0.3">
      <c r="A87" s="263">
        <v>12.44</v>
      </c>
      <c r="B87" s="263">
        <v>7.77</v>
      </c>
      <c r="C87" s="263">
        <v>25.16</v>
      </c>
      <c r="D87" s="263">
        <v>208</v>
      </c>
      <c r="E87" s="267" t="str">
        <f>"6/70"</f>
        <v>6/70</v>
      </c>
      <c r="F87" s="267" t="s">
        <v>220</v>
      </c>
      <c r="G87" s="211" t="str">
        <f>IFERROR(VLOOKUP(F87,[2]Реестр!A:K,2,0),"")</f>
        <v>300</v>
      </c>
      <c r="H87" s="206">
        <v>250</v>
      </c>
      <c r="I87" s="207">
        <v>42</v>
      </c>
    </row>
    <row r="88" spans="1:12" ht="18.75" x14ac:dyDescent="0.3">
      <c r="A88" s="348">
        <v>19.440000000000001</v>
      </c>
      <c r="B88" s="348">
        <v>21.37</v>
      </c>
      <c r="C88" s="348">
        <v>55.36</v>
      </c>
      <c r="D88" s="348">
        <v>508.5</v>
      </c>
      <c r="E88" s="349" t="str">
        <f>"8/35"</f>
        <v>8/35</v>
      </c>
      <c r="F88" s="349" t="s">
        <v>549</v>
      </c>
      <c r="G88" s="211" t="str">
        <f>IFERROR(VLOOKUP(F88,[2]Реестр!A:K,2,0),"")</f>
        <v/>
      </c>
      <c r="H88" s="206">
        <v>250</v>
      </c>
      <c r="I88" s="206">
        <v>109.55</v>
      </c>
    </row>
    <row r="89" spans="1:12" ht="18.75" x14ac:dyDescent="0.3">
      <c r="A89" s="263">
        <v>0.14000000000000001</v>
      </c>
      <c r="B89" s="263">
        <v>0.1</v>
      </c>
      <c r="C89" s="263">
        <v>1.5</v>
      </c>
      <c r="D89" s="263">
        <v>83.962620000000015</v>
      </c>
      <c r="E89" s="349" t="str">
        <f>"11/1"</f>
        <v>11/1</v>
      </c>
      <c r="F89" s="349" t="s">
        <v>317</v>
      </c>
      <c r="G89" s="211">
        <f>IFERROR(VLOOKUP(F89,[2]Реестр!A:K,2,0),"")</f>
        <v>200</v>
      </c>
      <c r="H89" s="206">
        <v>200</v>
      </c>
      <c r="I89" s="207">
        <v>4.38</v>
      </c>
    </row>
    <row r="90" spans="1:12" ht="18.75" x14ac:dyDescent="0.3">
      <c r="A90" s="209">
        <v>3.3</v>
      </c>
      <c r="B90" s="209">
        <v>0.3</v>
      </c>
      <c r="C90" s="209">
        <v>23.4</v>
      </c>
      <c r="D90" s="209">
        <v>112</v>
      </c>
      <c r="E90" s="210" t="s">
        <v>471</v>
      </c>
      <c r="F90" s="217" t="s">
        <v>66</v>
      </c>
      <c r="G90" s="211" t="str">
        <f>IFERROR(VLOOKUP(F90,[2]Реестр!A:K,2,0),"")</f>
        <v>100</v>
      </c>
      <c r="H90" s="206">
        <v>50</v>
      </c>
      <c r="I90" s="207">
        <v>4.5</v>
      </c>
    </row>
    <row r="91" spans="1:12" ht="18.75" x14ac:dyDescent="0.3">
      <c r="A91" s="209">
        <v>3.3</v>
      </c>
      <c r="B91" s="209">
        <v>0.6</v>
      </c>
      <c r="C91" s="209">
        <v>16.7</v>
      </c>
      <c r="D91" s="209">
        <v>96.5</v>
      </c>
      <c r="E91" s="210" t="s">
        <v>471</v>
      </c>
      <c r="F91" s="217" t="s">
        <v>65</v>
      </c>
      <c r="G91" s="211" t="str">
        <f>IFERROR(VLOOKUP(F91,[2]Реестр!A:K,2,0),"")</f>
        <v>100</v>
      </c>
      <c r="H91" s="206">
        <v>50</v>
      </c>
      <c r="I91" s="207">
        <v>4.5</v>
      </c>
    </row>
    <row r="92" spans="1:12" ht="18.75" x14ac:dyDescent="0.3">
      <c r="A92" s="209"/>
      <c r="B92" s="209"/>
      <c r="C92" s="209"/>
      <c r="D92" s="209"/>
      <c r="E92" s="218"/>
      <c r="F92" s="217"/>
      <c r="G92" s="211"/>
      <c r="H92" s="206"/>
      <c r="I92" s="207"/>
      <c r="K92" s="208"/>
    </row>
    <row r="93" spans="1:12" ht="18" hidden="1" customHeight="1" x14ac:dyDescent="0.3">
      <c r="A93" s="464" t="s">
        <v>16</v>
      </c>
      <c r="B93" s="464"/>
      <c r="C93" s="464"/>
      <c r="D93" s="464"/>
      <c r="E93" s="464"/>
      <c r="F93" s="464"/>
      <c r="G93" s="205"/>
      <c r="H93" s="206"/>
      <c r="I93" s="207">
        <f>SUM(I86:I92)</f>
        <v>192.83999999999997</v>
      </c>
      <c r="J93" s="215">
        <v>192.84</v>
      </c>
      <c r="L93" s="208">
        <f>J93-I93</f>
        <v>0</v>
      </c>
    </row>
    <row r="94" spans="1:12" ht="18.75" hidden="1" x14ac:dyDescent="0.3">
      <c r="A94" s="462" t="s">
        <v>544</v>
      </c>
      <c r="B94" s="462"/>
      <c r="C94" s="462"/>
      <c r="D94" s="462"/>
      <c r="E94" s="462"/>
      <c r="F94" s="462"/>
      <c r="G94" s="462"/>
      <c r="H94" s="462"/>
      <c r="I94" s="462"/>
      <c r="K94" s="208"/>
    </row>
    <row r="95" spans="1:12" ht="18.75" hidden="1" x14ac:dyDescent="0.25">
      <c r="A95" s="209">
        <f>IFERROR(VLOOKUP(F95,[1]Реестр!A:K,3,0)*H95/G95,"")</f>
        <v>5.08</v>
      </c>
      <c r="B95" s="209">
        <f>IFERROR(VLOOKUP(F95,[1]Реестр!A:K,4,0)*H95/G95,"")</f>
        <v>11.55</v>
      </c>
      <c r="C95" s="209">
        <f>IFERROR(VLOOKUP(F95,[1]Реестр!A:K,5,0)*H95/G95,"")</f>
        <v>9.9700000000000006</v>
      </c>
      <c r="D95" s="209">
        <f>IFERROR(VLOOKUP(F95,[1]Реестр!A:K,6,0)*H95/G95,"")</f>
        <v>164.15</v>
      </c>
      <c r="E95" s="210" t="str">
        <f>IFERROR(VLOOKUP(F95,[1]Реестр!A:K,11,0),"")</f>
        <v>1*51</v>
      </c>
      <c r="F95" s="356" t="s">
        <v>91</v>
      </c>
      <c r="G95" s="211" t="str">
        <f>IFERROR(VLOOKUP(F95,[1]Реестр!A:K,2,0),"")</f>
        <v>45</v>
      </c>
      <c r="H95" s="143">
        <v>45</v>
      </c>
      <c r="I95" s="450">
        <v>108.64</v>
      </c>
      <c r="K95" s="208"/>
    </row>
    <row r="96" spans="1:12" ht="33.75" hidden="1" customHeight="1" x14ac:dyDescent="0.25">
      <c r="A96" s="209">
        <f>IFERROR(VLOOKUP(F96,[1]Реестр!A:K,3,0)*H96/G96,"")</f>
        <v>6.3749999999999991</v>
      </c>
      <c r="B96" s="209">
        <f>IFERROR(VLOOKUP(F96,[1]Реестр!A:K,4,0)*H96/G96,"")</f>
        <v>5.7499999999999991</v>
      </c>
      <c r="C96" s="209">
        <f>IFERROR(VLOOKUP(F96,[1]Реестр!A:K,5,0)*H96/G96,"")</f>
        <v>0.375</v>
      </c>
      <c r="D96" s="209">
        <f>IFERROR(VLOOKUP(F96,[1]Реестр!A:K,6,0)*H96/G96,"")</f>
        <v>78.75</v>
      </c>
      <c r="E96" s="210" t="str">
        <f>IFERROR(VLOOKUP(F96,[1]Реестр!A:K,11,0),"")</f>
        <v>4*57</v>
      </c>
      <c r="F96" s="356" t="s">
        <v>162</v>
      </c>
      <c r="G96" s="211" t="str">
        <f>IFERROR(VLOOKUP(F96,[1]Реестр!A:K,2,0),"")</f>
        <v>40</v>
      </c>
      <c r="H96" s="143">
        <v>50</v>
      </c>
      <c r="I96" s="451"/>
      <c r="K96" s="208"/>
    </row>
    <row r="97" spans="1:12" ht="18.75" hidden="1" x14ac:dyDescent="0.25">
      <c r="A97" s="243">
        <v>6.26</v>
      </c>
      <c r="B97" s="243">
        <v>5.9</v>
      </c>
      <c r="C97" s="243">
        <v>28.4</v>
      </c>
      <c r="D97" s="243">
        <v>194.19400152</v>
      </c>
      <c r="E97" s="228" t="str">
        <f>"2/68"</f>
        <v>2/68</v>
      </c>
      <c r="F97" s="228" t="s">
        <v>666</v>
      </c>
      <c r="G97" s="211" t="str">
        <f>IFERROR(VLOOKUP(F97,[1]Реестр!A:K,2,0),"")</f>
        <v/>
      </c>
      <c r="H97" s="143">
        <v>200</v>
      </c>
      <c r="I97" s="451"/>
      <c r="K97" s="208"/>
    </row>
    <row r="98" spans="1:12" ht="30" hidden="1" x14ac:dyDescent="0.25">
      <c r="A98" s="243">
        <v>2.74</v>
      </c>
      <c r="B98" s="243">
        <v>2.2000000000000002</v>
      </c>
      <c r="C98" s="243">
        <v>4.8899999999999997</v>
      </c>
      <c r="D98" s="243">
        <v>49.717531084999983</v>
      </c>
      <c r="E98" s="228" t="str">
        <f>"11/59 (2004 № 692)"</f>
        <v>11/59 (2004 № 692)</v>
      </c>
      <c r="F98" s="228" t="s">
        <v>667</v>
      </c>
      <c r="G98" s="211">
        <f>IFERROR(VLOOKUP(F98,[1]Реестр!A:K,2,0),"")</f>
        <v>200</v>
      </c>
      <c r="H98" s="143" t="str">
        <f>"200"</f>
        <v>200</v>
      </c>
      <c r="I98" s="451"/>
      <c r="K98" s="208"/>
    </row>
    <row r="99" spans="1:12" ht="18.75" hidden="1" x14ac:dyDescent="0.25">
      <c r="A99" s="209">
        <f>IFERROR(VLOOKUP(F99,[1]Реестр!A:K,3,0)*H99/G99,"")</f>
        <v>1.32</v>
      </c>
      <c r="B99" s="209">
        <f>IFERROR(VLOOKUP(F99,[1]Реестр!A:K,4,0)*H99/G99,"")</f>
        <v>0.24</v>
      </c>
      <c r="C99" s="209">
        <f>IFERROR(VLOOKUP(F99,[1]Реестр!A:K,5,0)*H99/G99,"")</f>
        <v>6.68</v>
      </c>
      <c r="D99" s="209">
        <f>IFERROR(VLOOKUP(F99,[1]Реестр!A:K,6,0)*H99/G99,"")</f>
        <v>38.6</v>
      </c>
      <c r="E99" s="210" t="str">
        <f>IFERROR(VLOOKUP(F99,[1]Реестр!A:K,11,0),"")</f>
        <v>-</v>
      </c>
      <c r="F99" s="217" t="s">
        <v>65</v>
      </c>
      <c r="G99" s="211" t="str">
        <f>IFERROR(VLOOKUP(F99,[1]Реестр!A:K,2,0),"")</f>
        <v>100</v>
      </c>
      <c r="H99" s="229" t="str">
        <f>"20"</f>
        <v>20</v>
      </c>
      <c r="I99" s="452"/>
      <c r="K99" s="208"/>
    </row>
    <row r="100" spans="1:12" ht="18.75" hidden="1" x14ac:dyDescent="0.3">
      <c r="A100" s="464" t="s">
        <v>16</v>
      </c>
      <c r="B100" s="464"/>
      <c r="C100" s="464"/>
      <c r="D100" s="464"/>
      <c r="E100" s="464"/>
      <c r="F100" s="464"/>
      <c r="G100" s="205"/>
      <c r="H100" s="206"/>
      <c r="I100" s="207">
        <f>SUM(I95:I99)</f>
        <v>108.64</v>
      </c>
      <c r="K100" s="208"/>
    </row>
    <row r="101" spans="1:12" ht="18.75" hidden="1" x14ac:dyDescent="0.3">
      <c r="A101" s="462" t="s">
        <v>545</v>
      </c>
      <c r="B101" s="462"/>
      <c r="C101" s="462"/>
      <c r="D101" s="462"/>
      <c r="E101" s="462"/>
      <c r="F101" s="462"/>
      <c r="G101" s="462"/>
      <c r="H101" s="462"/>
      <c r="I101" s="462"/>
      <c r="J101" s="215">
        <v>85.2</v>
      </c>
      <c r="K101" s="208"/>
      <c r="L101" s="208">
        <f>J101-I101</f>
        <v>85.2</v>
      </c>
    </row>
    <row r="102" spans="1:12" ht="18.75" hidden="1" x14ac:dyDescent="0.25">
      <c r="A102" s="209">
        <f>IFERROR(VLOOKUP(F102,[1]Реестр!A:K,3,0)*H102/G102,"")</f>
        <v>6.3749999999999991</v>
      </c>
      <c r="B102" s="209">
        <f>IFERROR(VLOOKUP(F102,[1]Реестр!A:K,4,0)*H102/G102,"")</f>
        <v>5.7499999999999991</v>
      </c>
      <c r="C102" s="209">
        <f>IFERROR(VLOOKUP(F102,[1]Реестр!A:K,5,0)*H102/G102,"")</f>
        <v>0.375</v>
      </c>
      <c r="D102" s="209">
        <f>IFERROR(VLOOKUP(F102,[1]Реестр!A:K,6,0)*H102/G102,"")</f>
        <v>78.75</v>
      </c>
      <c r="E102" s="210" t="str">
        <f>IFERROR(VLOOKUP(F102,[1]Реестр!A:K,11,0),"")</f>
        <v>4*57</v>
      </c>
      <c r="F102" s="356" t="s">
        <v>162</v>
      </c>
      <c r="G102" s="211" t="str">
        <f>IFERROR(VLOOKUP(F102,[1]Реестр!A:K,2,0),"")</f>
        <v>40</v>
      </c>
      <c r="H102" s="143">
        <v>50</v>
      </c>
      <c r="I102" s="450">
        <v>108.64</v>
      </c>
      <c r="K102" s="208"/>
    </row>
    <row r="103" spans="1:12" ht="18.75" hidden="1" customHeight="1" x14ac:dyDescent="0.25">
      <c r="A103" s="243">
        <v>6.03</v>
      </c>
      <c r="B103" s="243">
        <v>12.83</v>
      </c>
      <c r="C103" s="243">
        <v>34.92</v>
      </c>
      <c r="D103" s="243">
        <v>275.69060599999995</v>
      </c>
      <c r="E103" s="228" t="str">
        <f>"2/78"</f>
        <v>2/78</v>
      </c>
      <c r="F103" s="228" t="s">
        <v>668</v>
      </c>
      <c r="G103" s="211" t="str">
        <f>IFERROR(VLOOKUP(F103,[1]Реестр!A:K,2,0),"")</f>
        <v/>
      </c>
      <c r="H103" s="143">
        <v>200</v>
      </c>
      <c r="I103" s="451"/>
      <c r="K103" s="208"/>
    </row>
    <row r="104" spans="1:12" ht="18.75" hidden="1" x14ac:dyDescent="0.25">
      <c r="A104" s="209">
        <f>IFERROR(VLOOKUP(F104,[1]Реестр!A:K,3,0)*H104/G104,"")</f>
        <v>0.17499999999999999</v>
      </c>
      <c r="B104" s="209">
        <f>IFERROR(VLOOKUP(F104,[1]Реестр!A:K,4,0)*H104/G104,"")</f>
        <v>0.105</v>
      </c>
      <c r="C104" s="209">
        <f>IFERROR(VLOOKUP(F104,[1]Реестр!A:K,5,0)*H104/G104,"")</f>
        <v>10.01</v>
      </c>
      <c r="D104" s="209">
        <f>IFERROR(VLOOKUP(F104,[1]Реестр!A:K,6,0)*H104/G104,"")</f>
        <v>40.6</v>
      </c>
      <c r="E104" s="210" t="str">
        <f>IFERROR(VLOOKUP(F104,[1]Реестр!A:K,11,0),"")</f>
        <v>12*2</v>
      </c>
      <c r="F104" s="356" t="s">
        <v>371</v>
      </c>
      <c r="G104" s="211" t="str">
        <f>IFERROR(VLOOKUP(F104,[1]Реестр!A:K,2,0),"")</f>
        <v>100</v>
      </c>
      <c r="H104" s="143">
        <v>35</v>
      </c>
      <c r="I104" s="451"/>
      <c r="K104" s="208"/>
    </row>
    <row r="105" spans="1:12" ht="18.75" hidden="1" x14ac:dyDescent="0.25">
      <c r="A105" s="243">
        <v>0.18</v>
      </c>
      <c r="B105" s="243">
        <v>0.04</v>
      </c>
      <c r="C105" s="243">
        <v>13.75</v>
      </c>
      <c r="D105" s="243">
        <v>53.136642799999997</v>
      </c>
      <c r="E105" s="210" t="s">
        <v>353</v>
      </c>
      <c r="F105" s="228" t="s">
        <v>563</v>
      </c>
      <c r="G105" s="211" t="str">
        <f>IFERROR(VLOOKUP(F105,[1]Реестр!A:K,2,0),"")</f>
        <v/>
      </c>
      <c r="H105" s="143" t="str">
        <f>"200"</f>
        <v>200</v>
      </c>
      <c r="I105" s="451"/>
      <c r="K105" s="208"/>
    </row>
    <row r="106" spans="1:12" ht="18.75" hidden="1" x14ac:dyDescent="0.25">
      <c r="A106" s="209">
        <f>IFERROR(VLOOKUP(F106,[1]Реестр!A:K,3,0)*H106/G106,"")</f>
        <v>1.32</v>
      </c>
      <c r="B106" s="209">
        <f>IFERROR(VLOOKUP(F106,[1]Реестр!A:K,4,0)*H106/G106,"")</f>
        <v>0.24</v>
      </c>
      <c r="C106" s="209">
        <f>IFERROR(VLOOKUP(F106,[1]Реестр!A:K,5,0)*H106/G106,"")</f>
        <v>6.68</v>
      </c>
      <c r="D106" s="209">
        <f>IFERROR(VLOOKUP(F106,[1]Реестр!A:K,6,0)*H106/G106,"")</f>
        <v>38.6</v>
      </c>
      <c r="E106" s="210" t="str">
        <f>IFERROR(VLOOKUP(F106,[1]Реестр!A:K,11,0),"")</f>
        <v>-</v>
      </c>
      <c r="F106" s="217" t="s">
        <v>65</v>
      </c>
      <c r="G106" s="211" t="str">
        <f>IFERROR(VLOOKUP(F106,[1]Реестр!A:K,2,0),"")</f>
        <v>100</v>
      </c>
      <c r="H106" s="229" t="str">
        <f>"20"</f>
        <v>20</v>
      </c>
      <c r="I106" s="451"/>
      <c r="K106" s="208"/>
    </row>
    <row r="107" spans="1:12" ht="18.75" hidden="1" x14ac:dyDescent="0.3">
      <c r="A107" s="209">
        <f>IFERROR(VLOOKUP(F107,[1]Реестр!A:K,3,0)*H107/G107,"")</f>
        <v>1.32</v>
      </c>
      <c r="B107" s="209">
        <f>IFERROR(VLOOKUP(F107,[1]Реестр!A:K,4,0)*H107/G107,"")</f>
        <v>0.12</v>
      </c>
      <c r="C107" s="209">
        <f>IFERROR(VLOOKUP(F107,[1]Реестр!A:K,5,0)*H107/G107,"")</f>
        <v>9.36</v>
      </c>
      <c r="D107" s="209">
        <f>IFERROR(VLOOKUP(F107,[1]Реестр!A:K,6,0)*H107/G107,"")</f>
        <v>44.8</v>
      </c>
      <c r="E107" s="210" t="str">
        <f>IFERROR(VLOOKUP(F107,[1]Реестр!A:K,11,0),"")</f>
        <v>-</v>
      </c>
      <c r="F107" s="217" t="s">
        <v>66</v>
      </c>
      <c r="G107" s="211" t="str">
        <f>IFERROR(VLOOKUP(F107,[1]Реестр!A:K,2,0),"")</f>
        <v>100</v>
      </c>
      <c r="H107" s="206">
        <v>20</v>
      </c>
      <c r="I107" s="452"/>
      <c r="K107" s="208"/>
    </row>
    <row r="108" spans="1:12" ht="18.75" hidden="1" x14ac:dyDescent="0.3">
      <c r="A108" s="464" t="s">
        <v>16</v>
      </c>
      <c r="B108" s="464"/>
      <c r="C108" s="464"/>
      <c r="D108" s="464"/>
      <c r="E108" s="464"/>
      <c r="F108" s="464"/>
      <c r="G108" s="205"/>
      <c r="H108" s="206"/>
      <c r="I108" s="207">
        <f>SUM(I102)</f>
        <v>108.64</v>
      </c>
      <c r="K108" s="208"/>
    </row>
    <row r="109" spans="1:12" ht="18.75" hidden="1" x14ac:dyDescent="0.3">
      <c r="A109" s="462" t="s">
        <v>566</v>
      </c>
      <c r="B109" s="462"/>
      <c r="C109" s="462"/>
      <c r="D109" s="462"/>
      <c r="E109" s="462"/>
      <c r="F109" s="462"/>
      <c r="G109" s="462"/>
      <c r="H109" s="462"/>
      <c r="I109" s="462"/>
      <c r="K109" s="208"/>
    </row>
    <row r="110" spans="1:12" ht="30" hidden="1" x14ac:dyDescent="0.25">
      <c r="A110" s="367">
        <v>1.03</v>
      </c>
      <c r="B110" s="353">
        <v>4.7699999999999996</v>
      </c>
      <c r="C110" s="353">
        <v>6.38</v>
      </c>
      <c r="D110" s="353">
        <v>68.989999999999995</v>
      </c>
      <c r="E110" s="357" t="str">
        <f>"7/80"</f>
        <v>7/80</v>
      </c>
      <c r="F110" s="228" t="s">
        <v>678</v>
      </c>
      <c r="G110" s="211" t="str">
        <f>IFERROR(VLOOKUP(F110,[2]Реестр!A:K,2,0),"")</f>
        <v/>
      </c>
      <c r="H110" s="263" t="s">
        <v>81</v>
      </c>
      <c r="I110" s="450">
        <v>162.94999999999999</v>
      </c>
      <c r="K110" s="208"/>
    </row>
    <row r="111" spans="1:12" ht="30" hidden="1" x14ac:dyDescent="0.25">
      <c r="A111" s="263">
        <v>12.44</v>
      </c>
      <c r="B111" s="263">
        <v>7.77</v>
      </c>
      <c r="C111" s="263">
        <v>25.16</v>
      </c>
      <c r="D111" s="263">
        <v>208</v>
      </c>
      <c r="E111" s="228" t="str">
        <f>"6/57 (2004 № 139)"</f>
        <v>6/57 (2004 № 139)</v>
      </c>
      <c r="F111" s="228" t="s">
        <v>603</v>
      </c>
      <c r="G111" s="211" t="str">
        <f>IFERROR(VLOOKUP(F111,[2]Реестр!A:K,2,0),"")</f>
        <v/>
      </c>
      <c r="H111" s="243" t="str">
        <f>"250"</f>
        <v>250</v>
      </c>
      <c r="I111" s="451"/>
      <c r="K111" s="208"/>
    </row>
    <row r="112" spans="1:12" ht="18.75" hidden="1" x14ac:dyDescent="0.25">
      <c r="A112" s="263">
        <v>16.579999999999998</v>
      </c>
      <c r="B112" s="263">
        <v>19.5</v>
      </c>
      <c r="C112" s="263">
        <v>68.38</v>
      </c>
      <c r="D112" s="263">
        <v>327.07</v>
      </c>
      <c r="E112" s="349" t="str">
        <f>"8/35"</f>
        <v>8/35</v>
      </c>
      <c r="F112" s="349" t="s">
        <v>549</v>
      </c>
      <c r="G112" s="211"/>
      <c r="H112" s="266">
        <v>200</v>
      </c>
      <c r="I112" s="451"/>
      <c r="K112" s="208"/>
    </row>
    <row r="113" spans="1:11" ht="18.75" hidden="1" x14ac:dyDescent="0.25">
      <c r="A113" s="263">
        <v>0.14000000000000001</v>
      </c>
      <c r="B113" s="263">
        <v>0.1</v>
      </c>
      <c r="C113" s="263">
        <v>11</v>
      </c>
      <c r="D113" s="263">
        <v>83.962620000000015</v>
      </c>
      <c r="E113" s="228" t="str">
        <f>"11/73"</f>
        <v>11/73</v>
      </c>
      <c r="F113" s="228" t="s">
        <v>669</v>
      </c>
      <c r="G113" s="211"/>
      <c r="H113" s="263" t="s">
        <v>118</v>
      </c>
      <c r="I113" s="451"/>
      <c r="K113" s="208"/>
    </row>
    <row r="114" spans="1:11" ht="18.75" hidden="1" customHeight="1" x14ac:dyDescent="0.25">
      <c r="A114" s="264">
        <v>2.64</v>
      </c>
      <c r="B114" s="264">
        <v>0.48</v>
      </c>
      <c r="C114" s="264">
        <v>16.68</v>
      </c>
      <c r="D114" s="264">
        <v>77.352000000000004</v>
      </c>
      <c r="E114" s="228" t="str">
        <f>"-"</f>
        <v>-</v>
      </c>
      <c r="F114" s="217" t="s">
        <v>66</v>
      </c>
      <c r="G114" s="211"/>
      <c r="H114" s="264" t="str">
        <f>"40"</f>
        <v>40</v>
      </c>
      <c r="I114" s="451"/>
      <c r="K114" s="208"/>
    </row>
    <row r="115" spans="1:11" ht="18.75" hidden="1" x14ac:dyDescent="0.25">
      <c r="A115" s="264">
        <v>2.64</v>
      </c>
      <c r="B115" s="264">
        <v>0.48</v>
      </c>
      <c r="C115" s="264">
        <v>16.68</v>
      </c>
      <c r="D115" s="264">
        <v>77.352000000000004</v>
      </c>
      <c r="E115" s="265" t="str">
        <f>"-"</f>
        <v>-</v>
      </c>
      <c r="F115" s="217" t="s">
        <v>65</v>
      </c>
      <c r="G115" s="211" t="str">
        <f>IFERROR(VLOOKUP(F115,[2]Реестр!A:K,2,0),"")</f>
        <v>100</v>
      </c>
      <c r="H115" s="264" t="str">
        <f>"40"</f>
        <v>40</v>
      </c>
      <c r="I115" s="451"/>
      <c r="K115" s="208"/>
    </row>
    <row r="116" spans="1:11" ht="18.75" hidden="1" x14ac:dyDescent="0.25">
      <c r="A116" s="241"/>
      <c r="B116" s="241"/>
      <c r="C116" s="241"/>
      <c r="D116" s="241"/>
      <c r="E116" s="265"/>
      <c r="F116" s="217"/>
      <c r="G116" s="211"/>
      <c r="H116" s="269"/>
      <c r="I116" s="451"/>
      <c r="K116" s="208"/>
    </row>
    <row r="117" spans="1:11" ht="18.75" hidden="1" x14ac:dyDescent="0.3">
      <c r="A117" s="464" t="s">
        <v>16</v>
      </c>
      <c r="B117" s="464"/>
      <c r="C117" s="464"/>
      <c r="D117" s="464"/>
      <c r="E117" s="464"/>
      <c r="F117" s="464"/>
      <c r="G117" s="205"/>
      <c r="H117" s="206"/>
      <c r="I117" s="207">
        <f>SUM(I110:I116)</f>
        <v>162.94999999999999</v>
      </c>
      <c r="K117" s="208"/>
    </row>
    <row r="118" spans="1:11" ht="18.75" hidden="1" x14ac:dyDescent="0.3">
      <c r="A118" s="462" t="s">
        <v>550</v>
      </c>
      <c r="B118" s="462"/>
      <c r="C118" s="462"/>
      <c r="D118" s="462"/>
      <c r="E118" s="462"/>
      <c r="F118" s="462"/>
      <c r="G118" s="462"/>
      <c r="H118" s="462"/>
      <c r="I118" s="462"/>
      <c r="K118" s="208"/>
    </row>
    <row r="119" spans="1:11" ht="30" hidden="1" x14ac:dyDescent="0.25">
      <c r="A119" s="367">
        <v>1.03</v>
      </c>
      <c r="B119" s="353">
        <v>4.7699999999999996</v>
      </c>
      <c r="C119" s="353">
        <v>6.38</v>
      </c>
      <c r="D119" s="353">
        <v>68.989999999999995</v>
      </c>
      <c r="E119" s="357" t="str">
        <f>"7/80"</f>
        <v>7/80</v>
      </c>
      <c r="F119" s="228" t="s">
        <v>678</v>
      </c>
      <c r="G119" s="211" t="str">
        <f>IFERROR(VLOOKUP(F119,[2]Реестр!A:K,2,0),"")</f>
        <v/>
      </c>
      <c r="H119" s="210">
        <v>80</v>
      </c>
      <c r="I119" s="450">
        <v>162.94999999999999</v>
      </c>
      <c r="K119" s="208"/>
    </row>
    <row r="120" spans="1:11" ht="18.75" hidden="1" x14ac:dyDescent="0.3">
      <c r="A120" s="263">
        <v>5.55</v>
      </c>
      <c r="B120" s="263">
        <v>12.08</v>
      </c>
      <c r="C120" s="263">
        <v>17.95</v>
      </c>
      <c r="D120" s="263">
        <v>199.78905478333331</v>
      </c>
      <c r="E120" s="227" t="str">
        <f>"6/70-1"</f>
        <v>6/70-1</v>
      </c>
      <c r="F120" s="228" t="s">
        <v>670</v>
      </c>
      <c r="G120" s="211" t="str">
        <f>IFERROR(VLOOKUP(F120,[2]Реестр!A:K,2,0),"")</f>
        <v>300</v>
      </c>
      <c r="H120" s="206">
        <v>250</v>
      </c>
      <c r="I120" s="451"/>
      <c r="K120" s="208"/>
    </row>
    <row r="121" spans="1:11" ht="18.75" hidden="1" x14ac:dyDescent="0.3">
      <c r="A121" s="263">
        <v>16.579999999999998</v>
      </c>
      <c r="B121" s="263">
        <v>19.5</v>
      </c>
      <c r="C121" s="263">
        <v>68.38</v>
      </c>
      <c r="D121" s="263">
        <v>327.07</v>
      </c>
      <c r="E121" s="349" t="str">
        <f>"8/35"</f>
        <v>8/35</v>
      </c>
      <c r="F121" s="349" t="s">
        <v>549</v>
      </c>
      <c r="G121" s="211" t="str">
        <f>IFERROR(VLOOKUP(F121,[2]Реестр!A:K,2,0),"")</f>
        <v/>
      </c>
      <c r="H121" s="206">
        <v>200</v>
      </c>
      <c r="I121" s="451"/>
      <c r="K121" s="208"/>
    </row>
    <row r="122" spans="1:11" ht="18.75" hidden="1" x14ac:dyDescent="0.3">
      <c r="A122" s="263">
        <v>0.14000000000000001</v>
      </c>
      <c r="B122" s="263">
        <v>0.1</v>
      </c>
      <c r="C122" s="263">
        <v>1.5</v>
      </c>
      <c r="D122" s="263">
        <v>83.962620000000015</v>
      </c>
      <c r="E122" s="349" t="str">
        <f>"11/1"</f>
        <v>11/1</v>
      </c>
      <c r="F122" s="349" t="s">
        <v>317</v>
      </c>
      <c r="G122" s="211">
        <f>IFERROR(VLOOKUP(F122,[2]Реестр!A:K,2,0),"")</f>
        <v>200</v>
      </c>
      <c r="H122" s="206">
        <v>200</v>
      </c>
      <c r="I122" s="451"/>
      <c r="K122" s="208"/>
    </row>
    <row r="123" spans="1:11" ht="18.75" hidden="1" x14ac:dyDescent="0.3">
      <c r="A123" s="209">
        <v>2.64</v>
      </c>
      <c r="B123" s="209">
        <v>0.24</v>
      </c>
      <c r="C123" s="209">
        <v>18.72</v>
      </c>
      <c r="D123" s="209">
        <v>89.6</v>
      </c>
      <c r="E123" s="210" t="s">
        <v>471</v>
      </c>
      <c r="F123" s="217" t="s">
        <v>66</v>
      </c>
      <c r="G123" s="211" t="str">
        <f>IFERROR(VLOOKUP(F123,[2]Реестр!A:K,2,0),"")</f>
        <v>100</v>
      </c>
      <c r="H123" s="206">
        <v>40</v>
      </c>
      <c r="I123" s="451"/>
      <c r="K123" s="208"/>
    </row>
    <row r="124" spans="1:11" ht="18.75" hidden="1" x14ac:dyDescent="0.3">
      <c r="A124" s="209">
        <v>2.64</v>
      </c>
      <c r="B124" s="209">
        <v>0.48</v>
      </c>
      <c r="C124" s="209">
        <v>13.36</v>
      </c>
      <c r="D124" s="209">
        <v>77.2</v>
      </c>
      <c r="E124" s="210" t="s">
        <v>471</v>
      </c>
      <c r="F124" s="217" t="s">
        <v>65</v>
      </c>
      <c r="G124" s="211" t="str">
        <f>IFERROR(VLOOKUP(F124,[2]Реестр!A:K,2,0),"")</f>
        <v>100</v>
      </c>
      <c r="H124" s="206">
        <v>40</v>
      </c>
      <c r="I124" s="451"/>
      <c r="K124" s="208"/>
    </row>
    <row r="125" spans="1:11" ht="18.75" hidden="1" x14ac:dyDescent="0.25">
      <c r="A125" s="264"/>
      <c r="B125" s="264"/>
      <c r="C125" s="264"/>
      <c r="D125" s="264"/>
      <c r="E125" s="265"/>
      <c r="F125" s="217"/>
      <c r="G125" s="211"/>
      <c r="H125" s="264"/>
      <c r="I125" s="451"/>
      <c r="K125" s="208"/>
    </row>
    <row r="126" spans="1:11" ht="18.75" hidden="1" x14ac:dyDescent="0.3">
      <c r="A126" s="464" t="s">
        <v>16</v>
      </c>
      <c r="B126" s="464"/>
      <c r="C126" s="464"/>
      <c r="D126" s="464"/>
      <c r="E126" s="464"/>
      <c r="F126" s="464"/>
      <c r="G126" s="205"/>
      <c r="H126" s="206"/>
      <c r="I126" s="207">
        <f>SUM(I119)</f>
        <v>162.94999999999999</v>
      </c>
      <c r="K126" s="208"/>
    </row>
    <row r="127" spans="1:11" ht="18.75" hidden="1" x14ac:dyDescent="0.3">
      <c r="A127" s="465" t="s">
        <v>596</v>
      </c>
      <c r="B127" s="466"/>
      <c r="C127" s="466"/>
      <c r="D127" s="466"/>
      <c r="E127" s="466"/>
      <c r="F127" s="466"/>
      <c r="G127" s="466"/>
      <c r="H127" s="466"/>
      <c r="I127" s="467"/>
      <c r="K127" s="208"/>
    </row>
    <row r="128" spans="1:11" ht="18.75" hidden="1" x14ac:dyDescent="0.25">
      <c r="A128" s="198">
        <v>14.01</v>
      </c>
      <c r="B128" s="196">
        <v>6.2079999999999993</v>
      </c>
      <c r="C128" s="196">
        <v>12.072000000000001</v>
      </c>
      <c r="D128" s="196">
        <v>117.68388800000001</v>
      </c>
      <c r="E128" s="197" t="s">
        <v>628</v>
      </c>
      <c r="F128" s="198" t="s">
        <v>629</v>
      </c>
      <c r="G128" s="199" t="str">
        <f>IFERROR(VLOOKUP(F128,[2]Реестр!A:K,2,0),"")</f>
        <v/>
      </c>
      <c r="H128" s="197">
        <v>80</v>
      </c>
      <c r="I128" s="236">
        <v>21.73</v>
      </c>
      <c r="K128" s="208"/>
    </row>
    <row r="129" spans="1:11" ht="18.75" hidden="1" x14ac:dyDescent="0.3">
      <c r="A129" s="196">
        <v>8.9166666666666661</v>
      </c>
      <c r="B129" s="196">
        <v>7.75</v>
      </c>
      <c r="C129" s="196">
        <v>19.5</v>
      </c>
      <c r="D129" s="196">
        <v>185</v>
      </c>
      <c r="E129" s="197" t="s">
        <v>213</v>
      </c>
      <c r="F129" s="198" t="s">
        <v>212</v>
      </c>
      <c r="G129" s="199" t="str">
        <f>IFERROR(VLOOKUP(F129,[2]Реестр!A:K,2,0),"")</f>
        <v>300</v>
      </c>
      <c r="H129" s="200">
        <v>250</v>
      </c>
      <c r="I129" s="203">
        <v>42</v>
      </c>
      <c r="K129" s="208"/>
    </row>
    <row r="130" spans="1:11" ht="18.75" hidden="1" x14ac:dyDescent="0.3">
      <c r="A130" s="196">
        <v>17.37</v>
      </c>
      <c r="B130" s="196">
        <v>9.0540000000000003</v>
      </c>
      <c r="C130" s="196">
        <v>30.789000000000001</v>
      </c>
      <c r="D130" s="196">
        <v>274.12200000000001</v>
      </c>
      <c r="E130" s="197" t="s">
        <v>630</v>
      </c>
      <c r="F130" s="198" t="s">
        <v>631</v>
      </c>
      <c r="G130" s="199" t="str">
        <f>IFERROR(VLOOKUP(F130,[2]Реестр!A:K,2,0),"")</f>
        <v/>
      </c>
      <c r="H130" s="200">
        <v>200</v>
      </c>
      <c r="I130" s="200">
        <v>87.64</v>
      </c>
      <c r="K130" s="208"/>
    </row>
    <row r="131" spans="1:11" ht="18.75" hidden="1" x14ac:dyDescent="0.3">
      <c r="A131" s="196">
        <v>0.2</v>
      </c>
      <c r="B131" s="196">
        <v>0</v>
      </c>
      <c r="C131" s="196">
        <v>13.7</v>
      </c>
      <c r="D131" s="196">
        <v>53</v>
      </c>
      <c r="E131" s="197" t="s">
        <v>353</v>
      </c>
      <c r="F131" s="198" t="s">
        <v>499</v>
      </c>
      <c r="G131" s="199" t="str">
        <f>IFERROR(VLOOKUP(F131,[2]Реестр!A:K,2,0),"")</f>
        <v>200</v>
      </c>
      <c r="H131" s="200">
        <v>200</v>
      </c>
      <c r="I131" s="203">
        <v>4.38</v>
      </c>
      <c r="K131" s="208"/>
    </row>
    <row r="132" spans="1:11" ht="18.75" hidden="1" x14ac:dyDescent="0.3">
      <c r="A132" s="196">
        <v>2.64</v>
      </c>
      <c r="B132" s="196">
        <v>0.24</v>
      </c>
      <c r="C132" s="196">
        <v>18.72</v>
      </c>
      <c r="D132" s="196">
        <v>89.6</v>
      </c>
      <c r="E132" s="197" t="s">
        <v>471</v>
      </c>
      <c r="F132" s="204" t="s">
        <v>66</v>
      </c>
      <c r="G132" s="199" t="str">
        <f>IFERROR(VLOOKUP(F132,[2]Реестр!A:K,2,0),"")</f>
        <v>100</v>
      </c>
      <c r="H132" s="200">
        <v>40</v>
      </c>
      <c r="I132" s="203">
        <v>3.6</v>
      </c>
      <c r="K132" s="208"/>
    </row>
    <row r="133" spans="1:11" ht="18.75" hidden="1" x14ac:dyDescent="0.3">
      <c r="A133" s="196">
        <v>2.64</v>
      </c>
      <c r="B133" s="196">
        <v>0.48</v>
      </c>
      <c r="C133" s="196">
        <v>13.36</v>
      </c>
      <c r="D133" s="196">
        <v>77.2</v>
      </c>
      <c r="E133" s="197" t="s">
        <v>471</v>
      </c>
      <c r="F133" s="204" t="s">
        <v>65</v>
      </c>
      <c r="G133" s="199" t="str">
        <f>IFERROR(VLOOKUP(F133,[2]Реестр!A:K,2,0),"")</f>
        <v>100</v>
      </c>
      <c r="H133" s="200">
        <v>40</v>
      </c>
      <c r="I133" s="203">
        <v>3.6</v>
      </c>
      <c r="K133" s="208"/>
    </row>
    <row r="134" spans="1:11" ht="18.75" hidden="1" x14ac:dyDescent="0.3">
      <c r="A134" s="196"/>
      <c r="B134" s="196"/>
      <c r="C134" s="196"/>
      <c r="D134" s="196"/>
      <c r="E134" s="214"/>
      <c r="F134" s="204"/>
      <c r="G134" s="199"/>
      <c r="H134" s="200"/>
      <c r="I134" s="203"/>
      <c r="K134" s="208"/>
    </row>
    <row r="135" spans="1:11" ht="18.75" hidden="1" x14ac:dyDescent="0.3">
      <c r="A135" s="453" t="s">
        <v>16</v>
      </c>
      <c r="B135" s="454"/>
      <c r="C135" s="454"/>
      <c r="D135" s="454"/>
      <c r="E135" s="454"/>
      <c r="F135" s="455"/>
      <c r="G135" s="205"/>
      <c r="H135" s="206"/>
      <c r="I135" s="207">
        <f>SUM(I128:I134)</f>
        <v>162.94999999999999</v>
      </c>
      <c r="K135" s="208"/>
    </row>
    <row r="136" spans="1:11" hidden="1" x14ac:dyDescent="0.25"/>
    <row r="137" spans="1:11" ht="18.75" x14ac:dyDescent="0.3">
      <c r="A137" s="465" t="s">
        <v>677</v>
      </c>
      <c r="B137" s="466"/>
      <c r="C137" s="466"/>
      <c r="D137" s="466"/>
      <c r="E137" s="466"/>
      <c r="F137" s="466"/>
      <c r="G137" s="466"/>
      <c r="H137" s="466"/>
      <c r="I137" s="467"/>
    </row>
    <row r="138" spans="1:11" ht="18.75" x14ac:dyDescent="0.3">
      <c r="A138" s="263">
        <v>5.55</v>
      </c>
      <c r="B138" s="263">
        <v>7.8</v>
      </c>
      <c r="C138" s="263">
        <v>15.95</v>
      </c>
      <c r="D138" s="263">
        <v>199.78905478333331</v>
      </c>
      <c r="E138" s="350" t="str">
        <f>"6/70"</f>
        <v>6/70</v>
      </c>
      <c r="F138" s="350" t="s">
        <v>220</v>
      </c>
      <c r="G138" s="211" t="str">
        <f>IFERROR(VLOOKUP(F138,[2]Реестр!A:K,2,0),"")</f>
        <v>300</v>
      </c>
      <c r="H138" s="206">
        <v>250</v>
      </c>
      <c r="I138" s="450">
        <v>130.88</v>
      </c>
    </row>
    <row r="139" spans="1:11" ht="18.75" x14ac:dyDescent="0.3">
      <c r="A139" s="263">
        <v>16.579999999999998</v>
      </c>
      <c r="B139" s="263">
        <v>19.5</v>
      </c>
      <c r="C139" s="263">
        <v>68.38</v>
      </c>
      <c r="D139" s="263">
        <v>327.07</v>
      </c>
      <c r="E139" s="349" t="str">
        <f>"8/35"</f>
        <v>8/35</v>
      </c>
      <c r="F139" s="349" t="s">
        <v>549</v>
      </c>
      <c r="G139" s="211" t="str">
        <f>IFERROR(VLOOKUP(F139,[2]Реестр!A:K,2,0),"")</f>
        <v/>
      </c>
      <c r="H139" s="206">
        <v>200</v>
      </c>
      <c r="I139" s="451"/>
    </row>
    <row r="140" spans="1:11" ht="18.75" x14ac:dyDescent="0.3">
      <c r="A140" s="263">
        <v>0.14000000000000001</v>
      </c>
      <c r="B140" s="263">
        <v>0.1</v>
      </c>
      <c r="C140" s="263">
        <v>1.5</v>
      </c>
      <c r="D140" s="263">
        <v>83.962620000000015</v>
      </c>
      <c r="E140" s="349" t="str">
        <f>"11/1"</f>
        <v>11/1</v>
      </c>
      <c r="F140" s="349" t="s">
        <v>317</v>
      </c>
      <c r="G140" s="211">
        <f>IFERROR(VLOOKUP(F140,[2]Реестр!A:K,2,0),"")</f>
        <v>200</v>
      </c>
      <c r="H140" s="206">
        <v>200</v>
      </c>
      <c r="I140" s="451"/>
    </row>
    <row r="141" spans="1:11" ht="18.75" x14ac:dyDescent="0.3">
      <c r="A141" s="209">
        <v>2.64</v>
      </c>
      <c r="B141" s="209">
        <v>0.24</v>
      </c>
      <c r="C141" s="209">
        <v>18.72</v>
      </c>
      <c r="D141" s="209">
        <v>89.6</v>
      </c>
      <c r="E141" s="210" t="s">
        <v>471</v>
      </c>
      <c r="F141" s="217" t="s">
        <v>66</v>
      </c>
      <c r="G141" s="211" t="str">
        <f>IFERROR(VLOOKUP(F141,[2]Реестр!A:K,2,0),"")</f>
        <v>100</v>
      </c>
      <c r="H141" s="206">
        <v>20</v>
      </c>
      <c r="I141" s="451"/>
    </row>
    <row r="142" spans="1:11" ht="18.75" x14ac:dyDescent="0.3">
      <c r="A142" s="209">
        <v>2.64</v>
      </c>
      <c r="B142" s="209">
        <v>0.48</v>
      </c>
      <c r="C142" s="209">
        <v>13.36</v>
      </c>
      <c r="D142" s="209">
        <v>77.2</v>
      </c>
      <c r="E142" s="210" t="s">
        <v>471</v>
      </c>
      <c r="F142" s="217" t="s">
        <v>65</v>
      </c>
      <c r="G142" s="211" t="str">
        <f>IFERROR(VLOOKUP(F142,[2]Реестр!A:K,2,0),"")</f>
        <v>100</v>
      </c>
      <c r="H142" s="206">
        <v>20</v>
      </c>
      <c r="I142" s="451"/>
    </row>
    <row r="143" spans="1:11" ht="18.75" hidden="1" x14ac:dyDescent="0.3">
      <c r="A143" s="209"/>
      <c r="B143" s="209"/>
      <c r="C143" s="209"/>
      <c r="D143" s="209"/>
      <c r="E143" s="218"/>
      <c r="F143" s="217"/>
      <c r="G143" s="211"/>
      <c r="H143" s="206"/>
      <c r="I143" s="452"/>
    </row>
    <row r="144" spans="1:11" ht="18.75" x14ac:dyDescent="0.3">
      <c r="A144" s="464" t="s">
        <v>16</v>
      </c>
      <c r="B144" s="464"/>
      <c r="C144" s="464"/>
      <c r="D144" s="464"/>
      <c r="E144" s="464"/>
      <c r="F144" s="464"/>
      <c r="G144" s="206"/>
      <c r="H144" s="206"/>
      <c r="I144" s="207">
        <f>SUM(I138)</f>
        <v>130.88</v>
      </c>
    </row>
    <row r="146" spans="6:9" ht="18.75" x14ac:dyDescent="0.3">
      <c r="F146" s="254" t="s">
        <v>37</v>
      </c>
      <c r="G146" s="270"/>
      <c r="H146" s="257"/>
      <c r="I146" s="258"/>
    </row>
  </sheetData>
  <autoFilter ref="A4:I93" xr:uid="{00000000-0009-0000-0000-000010000000}"/>
  <mergeCells count="55">
    <mergeCell ref="I119:I125"/>
    <mergeCell ref="A126:F126"/>
    <mergeCell ref="A127:I127"/>
    <mergeCell ref="A135:F135"/>
    <mergeCell ref="I102:I107"/>
    <mergeCell ref="A108:F108"/>
    <mergeCell ref="A109:I109"/>
    <mergeCell ref="I110:I116"/>
    <mergeCell ref="A117:F117"/>
    <mergeCell ref="A118:I118"/>
    <mergeCell ref="A62:I62"/>
    <mergeCell ref="A101:I101"/>
    <mergeCell ref="A71:I71"/>
    <mergeCell ref="A78:F78"/>
    <mergeCell ref="A79:I79"/>
    <mergeCell ref="A81:F81"/>
    <mergeCell ref="A82:I82"/>
    <mergeCell ref="A84:F84"/>
    <mergeCell ref="A85:I85"/>
    <mergeCell ref="A93:F93"/>
    <mergeCell ref="A94:I94"/>
    <mergeCell ref="I95:I99"/>
    <mergeCell ref="A100:F100"/>
    <mergeCell ref="A40:I40"/>
    <mergeCell ref="A46:I46"/>
    <mergeCell ref="A54:F54"/>
    <mergeCell ref="A55:I55"/>
    <mergeCell ref="A56:I56"/>
    <mergeCell ref="A22:I22"/>
    <mergeCell ref="A29:F29"/>
    <mergeCell ref="A30:I30"/>
    <mergeCell ref="A38:F38"/>
    <mergeCell ref="A39:I39"/>
    <mergeCell ref="J4:J5"/>
    <mergeCell ref="A6:I6"/>
    <mergeCell ref="A12:F12"/>
    <mergeCell ref="A13:I13"/>
    <mergeCell ref="G4:G5"/>
    <mergeCell ref="H4:H5"/>
    <mergeCell ref="A137:I137"/>
    <mergeCell ref="A144:F144"/>
    <mergeCell ref="I138:I143"/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  <mergeCell ref="A70:F70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1000-000001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F80</xm:sqref>
        </x14:dataValidation>
        <x14:dataValidation type="list" allowBlank="1" showInputMessage="1" showErrorMessage="1" xr:uid="{00000000-0002-0000-1000-000002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F10:F11 F19 F27:F28 F91 F52 F68 F76:F77 F98:F99 F133 F44:F45 F36 F60:F61 F105:F106 F124 F142</xm:sqref>
        </x14:dataValidation>
        <x14:dataValidation type="list" allowBlank="1" showInputMessage="1" showErrorMessage="1" xr:uid="{00000000-0002-0000-1000-000003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F128:F130 F138:F139 F24 F110 F31 F33 F83 F65 F86 F73 F112 F14:F16 F47:F49 F63 F88 F119:F121</xm:sqref>
        </x14:dataValidation>
        <x14:dataValidation type="list" allowBlank="1" showInputMessage="1" showErrorMessage="1" xr:uid="{00000000-0002-0000-1000-000004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F20 F134 F53 F37 F92 F69 F115 F125 F143</xm:sqref>
        </x14:dataValidation>
        <x14:dataValidation type="list" allowBlank="1" showInputMessage="1" showErrorMessage="1" xr:uid="{00000000-0002-0000-1000-000005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F133 F19 F27:F28 F36 F52 F68 F76:F77 F91 F124 F10:F11 F44:F45 F60:F61 F98:F99 F105:F106 F142</xm:sqref>
        </x14:dataValidation>
        <x14:dataValidation type="list" allowBlank="1" showInputMessage="1" showErrorMessage="1" xr:uid="{00000000-0002-0000-1000-000006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F7:F9 F17:F18 F25:F26 F116 F50:F51 F66:F67 F74:F75 F102:F104 F111 F57:F59 F131:F132 F41:F43 F95:F97 F89:F90 F34:F35 F107 F113 F122:F123 F32 F64 F87 F140:F141</xm:sqref>
        </x14:dataValidation>
        <x14:dataValidation type="list" allowBlank="1" showInputMessage="1" showErrorMessage="1" xr:uid="{00000000-0002-0000-1000-000007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F114</xm:sqref>
        </x14:dataValidation>
        <x14:dataValidation type="list" allowBlank="1" showInputMessage="1" showErrorMessage="1" xr:uid="{B989BC6C-E815-4F0E-87C4-DA3209646291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F23 F72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35">
    <pageSetUpPr fitToPage="1"/>
  </sheetPr>
  <dimension ref="A1:L144"/>
  <sheetViews>
    <sheetView view="pageBreakPreview" zoomScaleNormal="100" zoomScaleSheetLayoutView="100" workbookViewId="0">
      <selection sqref="A1:I3"/>
    </sheetView>
  </sheetViews>
  <sheetFormatPr defaultRowHeight="15.75" x14ac:dyDescent="0.25"/>
  <cols>
    <col min="1" max="1" width="11.28515625" style="305" customWidth="1"/>
    <col min="2" max="2" width="11.28515625" style="324" customWidth="1"/>
    <col min="3" max="3" width="10.5703125" style="325" customWidth="1"/>
    <col min="4" max="4" width="10.28515625" style="325" customWidth="1"/>
    <col min="5" max="5" width="14" style="325" customWidth="1"/>
    <col min="6" max="6" width="57.85546875" style="325" customWidth="1"/>
    <col min="7" max="7" width="17.85546875" style="325" hidden="1" customWidth="1"/>
    <col min="8" max="9" width="15.5703125" style="325" customWidth="1"/>
    <col min="10" max="10" width="25.5703125" style="305" customWidth="1"/>
    <col min="11" max="1025" width="8.7109375" style="283" customWidth="1"/>
    <col min="1026" max="16384" width="9.140625" style="283"/>
  </cols>
  <sheetData>
    <row r="1" spans="1:12" s="282" customFormat="1" ht="29.25" customHeight="1" x14ac:dyDescent="0.25">
      <c r="A1" s="490"/>
      <c r="B1" s="490"/>
      <c r="C1" s="224"/>
      <c r="D1" s="224"/>
      <c r="E1" s="224"/>
      <c r="F1" s="226" t="s">
        <v>618</v>
      </c>
      <c r="G1" s="226"/>
      <c r="H1" s="436" t="s">
        <v>0</v>
      </c>
      <c r="I1" s="436"/>
    </row>
    <row r="2" spans="1:12" s="282" customFormat="1" ht="29.25" customHeight="1" x14ac:dyDescent="0.25">
      <c r="A2" s="235"/>
      <c r="B2" s="235"/>
      <c r="C2" s="259"/>
      <c r="D2" s="259"/>
      <c r="E2" s="259"/>
      <c r="F2" s="231" t="s">
        <v>645</v>
      </c>
      <c r="G2" s="231"/>
      <c r="H2" s="469" t="s">
        <v>646</v>
      </c>
      <c r="I2" s="469"/>
      <c r="J2" s="281"/>
    </row>
    <row r="3" spans="1:12" s="282" customFormat="1" ht="29.25" customHeight="1" x14ac:dyDescent="0.25">
      <c r="A3" s="491"/>
      <c r="B3" s="491"/>
      <c r="C3" s="491"/>
      <c r="D3" s="492"/>
      <c r="E3" s="492"/>
      <c r="F3" s="231" t="s">
        <v>660</v>
      </c>
      <c r="G3" s="226"/>
      <c r="H3" s="493" t="s">
        <v>647</v>
      </c>
      <c r="I3" s="493"/>
    </row>
    <row r="4" spans="1:12" s="160" customFormat="1" ht="15" customHeight="1" x14ac:dyDescent="0.25">
      <c r="A4" s="514" t="s">
        <v>4</v>
      </c>
      <c r="B4" s="514"/>
      <c r="C4" s="514"/>
      <c r="D4" s="511" t="s">
        <v>5</v>
      </c>
      <c r="E4" s="511" t="s">
        <v>6</v>
      </c>
      <c r="F4" s="511" t="s">
        <v>7</v>
      </c>
      <c r="G4" s="512" t="s">
        <v>8</v>
      </c>
      <c r="H4" s="511" t="s">
        <v>9</v>
      </c>
      <c r="I4" s="511" t="s">
        <v>10</v>
      </c>
      <c r="J4" s="511" t="s">
        <v>11</v>
      </c>
    </row>
    <row r="5" spans="1:12" s="160" customFormat="1" x14ac:dyDescent="0.25">
      <c r="A5" s="176" t="s">
        <v>12</v>
      </c>
      <c r="B5" s="176" t="s">
        <v>13</v>
      </c>
      <c r="C5" s="176" t="s">
        <v>14</v>
      </c>
      <c r="D5" s="511"/>
      <c r="E5" s="511"/>
      <c r="F5" s="511"/>
      <c r="G5" s="512"/>
      <c r="H5" s="511"/>
      <c r="I5" s="511"/>
      <c r="J5" s="511"/>
    </row>
    <row r="6" spans="1:12" s="160" customFormat="1" ht="18" customHeight="1" x14ac:dyDescent="0.3">
      <c r="A6" s="463" t="s">
        <v>15</v>
      </c>
      <c r="B6" s="463"/>
      <c r="C6" s="463"/>
      <c r="D6" s="463"/>
      <c r="E6" s="463"/>
      <c r="F6" s="463"/>
      <c r="G6" s="463"/>
      <c r="H6" s="463"/>
      <c r="I6" s="463"/>
      <c r="J6" s="177"/>
    </row>
    <row r="7" spans="1:12" s="160" customFormat="1" ht="18" customHeight="1" x14ac:dyDescent="0.3">
      <c r="A7" s="151">
        <f>IFERROR(VLOOKUP(F7,[1]Реестр!A:K,3,0)*H7/G7,"")</f>
        <v>3.8</v>
      </c>
      <c r="B7" s="151">
        <f>IFERROR(VLOOKUP(F7,[1]Реестр!A:K,4,0)*H7/G7,"")</f>
        <v>6.6</v>
      </c>
      <c r="C7" s="151">
        <f>IFERROR(VLOOKUP(F7,[1]Реестр!A:K,5,0)*H7/G7,"")</f>
        <v>9.6999999999999993</v>
      </c>
      <c r="D7" s="151">
        <f>IFERROR(VLOOKUP(F7,[1]Реестр!A:K,6,0)*H7/G7,"")</f>
        <v>116</v>
      </c>
      <c r="E7" s="152" t="str">
        <f>IFERROR(VLOOKUP(F7,[1]Реестр!A:K,11,0),"")</f>
        <v>1*58</v>
      </c>
      <c r="F7" s="161" t="s">
        <v>527</v>
      </c>
      <c r="G7" s="153" t="str">
        <f>IFERROR(VLOOKUP(F7,[1]Реестр!A:K,2,0),"")</f>
        <v>35</v>
      </c>
      <c r="H7" s="152">
        <v>35</v>
      </c>
      <c r="I7" s="150">
        <v>26.85</v>
      </c>
      <c r="J7" s="178" t="str">
        <f>IFERROR(VLOOKUP(O7,Реестр!#REF!,3,0)*Q7/P7,"")</f>
        <v/>
      </c>
    </row>
    <row r="8" spans="1:12" s="160" customFormat="1" ht="18" customHeight="1" x14ac:dyDescent="0.3">
      <c r="A8" s="151">
        <v>9.75</v>
      </c>
      <c r="B8" s="151">
        <v>12.14</v>
      </c>
      <c r="C8" s="151">
        <v>36.06</v>
      </c>
      <c r="D8" s="151">
        <v>291.64</v>
      </c>
      <c r="E8" s="152" t="s">
        <v>133</v>
      </c>
      <c r="F8" s="326" t="s">
        <v>614</v>
      </c>
      <c r="G8" s="153" t="str">
        <f>IFERROR(VLOOKUP(F8,[1]Реестр!A:K,2,0),"")</f>
        <v/>
      </c>
      <c r="H8" s="152">
        <v>230</v>
      </c>
      <c r="I8" s="150">
        <v>38.270000000000003</v>
      </c>
      <c r="J8" s="178" t="str">
        <f>IFERROR(VLOOKUP(O8,Реестр!#REF!,3,0)*Q8/P8,"")</f>
        <v/>
      </c>
    </row>
    <row r="9" spans="1:12" s="160" customFormat="1" ht="18" customHeight="1" x14ac:dyDescent="0.3">
      <c r="A9" s="151">
        <f>IFERROR(VLOOKUP(F9,[1]Реестр!A:K,3,0)*H9/G9,"")</f>
        <v>0.15</v>
      </c>
      <c r="B9" s="151">
        <f>IFERROR(VLOOKUP(F9,[1]Реестр!A:K,4,0)*H9/G9,"")</f>
        <v>0.09</v>
      </c>
      <c r="C9" s="151">
        <f>IFERROR(VLOOKUP(F9,[1]Реестр!A:K,5,0)*H9/G9,"")</f>
        <v>8.58</v>
      </c>
      <c r="D9" s="151">
        <f>IFERROR(VLOOKUP(F9,[1]Реестр!A:K,6,0)*H9/G9,"")</f>
        <v>34.799999999999997</v>
      </c>
      <c r="E9" s="152" t="str">
        <f>IFERROR(VLOOKUP(F9,[1]Реестр!A:K,11,0),"")</f>
        <v>12*2</v>
      </c>
      <c r="F9" s="277" t="s">
        <v>371</v>
      </c>
      <c r="G9" s="153" t="str">
        <f>IFERROR(VLOOKUP(F9,[1]Реестр!A:K,2,0),"")</f>
        <v>100</v>
      </c>
      <c r="H9" s="152">
        <v>30</v>
      </c>
      <c r="I9" s="150">
        <v>17.559999999999999</v>
      </c>
      <c r="J9" s="178" t="str">
        <f>IFERROR(VLOOKUP(O9,Реестр!#REF!,3,0)*Q9/P9,"")</f>
        <v/>
      </c>
    </row>
    <row r="10" spans="1:12" s="160" customFormat="1" ht="18" customHeight="1" x14ac:dyDescent="0.3">
      <c r="A10" s="151">
        <f>IFERROR(VLOOKUP(F10,[1]Реестр!A:K,3,0)*H10/G10,"")</f>
        <v>3.6</v>
      </c>
      <c r="B10" s="151">
        <f>IFERROR(VLOOKUP(F10,[1]Реестр!A:K,4,0)*H10/G10,"")</f>
        <v>2.7</v>
      </c>
      <c r="C10" s="151">
        <f>IFERROR(VLOOKUP(F10,[1]Реестр!A:K,5,0)*H10/G10,"")</f>
        <v>22.9</v>
      </c>
      <c r="D10" s="151">
        <f>IFERROR(VLOOKUP(F10,[1]Реестр!A:K,6,0)*H10/G10,"")</f>
        <v>127</v>
      </c>
      <c r="E10" s="152" t="str">
        <f>IFERROR(VLOOKUP(F10,[1]Реестр!A:K,11,0),"")</f>
        <v>11*51</v>
      </c>
      <c r="F10" s="277" t="s">
        <v>342</v>
      </c>
      <c r="G10" s="153">
        <f>IFERROR(VLOOKUP(F10,[1]Реестр!A:K,2,0),"")</f>
        <v>200</v>
      </c>
      <c r="H10" s="149">
        <v>200</v>
      </c>
      <c r="I10" s="150">
        <v>24.16</v>
      </c>
      <c r="J10" s="178" t="str">
        <f>IFERROR(VLOOKUP(O10,Реестр!#REF!,3,0)*Q10/P10,"")</f>
        <v/>
      </c>
    </row>
    <row r="11" spans="1:12" s="160" customFormat="1" ht="18.75" x14ac:dyDescent="0.3">
      <c r="A11" s="151">
        <f>IFERROR(VLOOKUP(F11,[1]Реестр!A:K,3,0)*H11/G11,"")</f>
        <v>1.32</v>
      </c>
      <c r="B11" s="151">
        <f>IFERROR(VLOOKUP(F11,[1]Реестр!A:K,4,0)*H11/G11,"")</f>
        <v>0.24</v>
      </c>
      <c r="C11" s="151">
        <f>IFERROR(VLOOKUP(F11,[1]Реестр!A:K,5,0)*H11/G11,"")</f>
        <v>6.68</v>
      </c>
      <c r="D11" s="151">
        <f>IFERROR(VLOOKUP(F11,[1]Реестр!A:K,6,0)*H11/G11,"")</f>
        <v>38.6</v>
      </c>
      <c r="E11" s="152" t="str">
        <f>IFERROR(VLOOKUP(F11,[1]Реестр!A:K,11,0),"")</f>
        <v>-</v>
      </c>
      <c r="F11" s="162" t="s">
        <v>65</v>
      </c>
      <c r="G11" s="153" t="str">
        <f>IFERROR(VLOOKUP(F11,[1]Реестр!A:K,2,0),"")</f>
        <v>100</v>
      </c>
      <c r="H11" s="149">
        <v>20</v>
      </c>
      <c r="I11" s="150">
        <v>1.8</v>
      </c>
      <c r="J11" s="149"/>
      <c r="K11" s="163"/>
    </row>
    <row r="12" spans="1:12" s="160" customFormat="1" ht="18" customHeight="1" x14ac:dyDescent="0.3">
      <c r="A12" s="494" t="s">
        <v>16</v>
      </c>
      <c r="B12" s="494"/>
      <c r="C12" s="494"/>
      <c r="D12" s="494"/>
      <c r="E12" s="494"/>
      <c r="F12" s="494"/>
      <c r="G12" s="164"/>
      <c r="H12" s="149"/>
      <c r="I12" s="150">
        <f>SUM(I7:I11)</f>
        <v>108.64</v>
      </c>
      <c r="J12" s="149">
        <v>85.2</v>
      </c>
      <c r="K12" s="163">
        <f>I12-J12</f>
        <v>23.439999999999998</v>
      </c>
      <c r="L12" s="163"/>
    </row>
    <row r="13" spans="1:12" s="160" customFormat="1" ht="18" customHeight="1" x14ac:dyDescent="0.3">
      <c r="A13" s="463" t="s">
        <v>17</v>
      </c>
      <c r="B13" s="463"/>
      <c r="C13" s="463"/>
      <c r="D13" s="463"/>
      <c r="E13" s="463"/>
      <c r="F13" s="463"/>
      <c r="G13" s="463"/>
      <c r="H13" s="463"/>
      <c r="I13" s="463"/>
      <c r="J13" s="177"/>
    </row>
    <row r="14" spans="1:12" s="160" customFormat="1" ht="18.75" x14ac:dyDescent="0.3">
      <c r="A14" s="273">
        <v>14.01</v>
      </c>
      <c r="B14" s="189">
        <v>6.2079999999999993</v>
      </c>
      <c r="C14" s="189">
        <v>12.072000000000001</v>
      </c>
      <c r="D14" s="189">
        <v>117.68388800000001</v>
      </c>
      <c r="E14" s="190" t="s">
        <v>628</v>
      </c>
      <c r="F14" s="273" t="s">
        <v>629</v>
      </c>
      <c r="G14" s="191" t="str">
        <f>IFERROR(VLOOKUP(F14,[2]Реестр!A:K,2,0),"")</f>
        <v/>
      </c>
      <c r="H14" s="190">
        <v>80</v>
      </c>
      <c r="I14" s="274">
        <v>21.73</v>
      </c>
      <c r="J14" s="178" t="str">
        <f>IFERROR(VLOOKUP(O14,Реестр!#REF!,3,0)*Q14/P14,"")</f>
        <v/>
      </c>
    </row>
    <row r="15" spans="1:12" s="160" customFormat="1" ht="18" customHeight="1" x14ac:dyDescent="0.3">
      <c r="A15" s="189">
        <v>8.9166666666666661</v>
      </c>
      <c r="B15" s="189">
        <v>7.75</v>
      </c>
      <c r="C15" s="189">
        <v>19.5</v>
      </c>
      <c r="D15" s="189">
        <v>185</v>
      </c>
      <c r="E15" s="190" t="s">
        <v>213</v>
      </c>
      <c r="F15" s="273" t="s">
        <v>212</v>
      </c>
      <c r="G15" s="191" t="str">
        <f>IFERROR(VLOOKUP(F15,[2]Реестр!A:K,2,0),"")</f>
        <v>300</v>
      </c>
      <c r="H15" s="192">
        <v>250</v>
      </c>
      <c r="I15" s="193">
        <v>42</v>
      </c>
      <c r="J15" s="178" t="str">
        <f>IFERROR(VLOOKUP(O15,Реестр!#REF!,3,0)*Q15/P15,"")</f>
        <v/>
      </c>
    </row>
    <row r="16" spans="1:12" s="160" customFormat="1" ht="18" customHeight="1" x14ac:dyDescent="0.3">
      <c r="A16" s="189">
        <v>17.37</v>
      </c>
      <c r="B16" s="189">
        <v>9.0540000000000003</v>
      </c>
      <c r="C16" s="189">
        <v>30.789000000000001</v>
      </c>
      <c r="D16" s="189">
        <v>274.12200000000001</v>
      </c>
      <c r="E16" s="190" t="s">
        <v>630</v>
      </c>
      <c r="F16" s="273" t="s">
        <v>631</v>
      </c>
      <c r="G16" s="191" t="str">
        <f>IFERROR(VLOOKUP(F16,[2]Реестр!A:K,2,0),"")</f>
        <v/>
      </c>
      <c r="H16" s="192">
        <v>200</v>
      </c>
      <c r="I16" s="192">
        <v>87.64</v>
      </c>
      <c r="J16" s="178" t="str">
        <f>IFERROR(VLOOKUP(O16,Реестр!#REF!,3,0)*Q16/P16,"")</f>
        <v/>
      </c>
    </row>
    <row r="17" spans="1:12" s="160" customFormat="1" ht="18" customHeight="1" x14ac:dyDescent="0.3">
      <c r="A17" s="189">
        <v>0.2</v>
      </c>
      <c r="B17" s="189">
        <v>0</v>
      </c>
      <c r="C17" s="189">
        <v>13.7</v>
      </c>
      <c r="D17" s="189">
        <v>53</v>
      </c>
      <c r="E17" s="190" t="s">
        <v>353</v>
      </c>
      <c r="F17" s="273" t="s">
        <v>499</v>
      </c>
      <c r="G17" s="191" t="str">
        <f>IFERROR(VLOOKUP(F17,[2]Реестр!A:K,2,0),"")</f>
        <v>200</v>
      </c>
      <c r="H17" s="192">
        <v>200</v>
      </c>
      <c r="I17" s="193">
        <v>4.38</v>
      </c>
      <c r="J17" s="178"/>
    </row>
    <row r="18" spans="1:12" s="160" customFormat="1" ht="18" customHeight="1" x14ac:dyDescent="0.3">
      <c r="A18" s="189">
        <v>2.64</v>
      </c>
      <c r="B18" s="189">
        <v>0.24</v>
      </c>
      <c r="C18" s="189">
        <v>18.72</v>
      </c>
      <c r="D18" s="189">
        <v>89.6</v>
      </c>
      <c r="E18" s="190" t="s">
        <v>471</v>
      </c>
      <c r="F18" s="194" t="s">
        <v>66</v>
      </c>
      <c r="G18" s="191" t="str">
        <f>IFERROR(VLOOKUP(F18,[2]Реестр!A:K,2,0),"")</f>
        <v>100</v>
      </c>
      <c r="H18" s="192">
        <v>40</v>
      </c>
      <c r="I18" s="193">
        <v>3.6</v>
      </c>
      <c r="J18" s="178" t="str">
        <f>IFERROR(VLOOKUP(O18,Реестр!#REF!,3,0)*Q18/P18,"")</f>
        <v/>
      </c>
    </row>
    <row r="19" spans="1:12" s="160" customFormat="1" ht="18" customHeight="1" x14ac:dyDescent="0.3">
      <c r="A19" s="189">
        <v>2.64</v>
      </c>
      <c r="B19" s="189">
        <v>0.48</v>
      </c>
      <c r="C19" s="189">
        <v>13.36</v>
      </c>
      <c r="D19" s="189">
        <v>77.2</v>
      </c>
      <c r="E19" s="190" t="s">
        <v>471</v>
      </c>
      <c r="F19" s="194" t="s">
        <v>65</v>
      </c>
      <c r="G19" s="191" t="str">
        <f>IFERROR(VLOOKUP(F19,[2]Реестр!A:K,2,0),"")</f>
        <v>100</v>
      </c>
      <c r="H19" s="192">
        <v>40</v>
      </c>
      <c r="I19" s="193">
        <v>3.6</v>
      </c>
      <c r="J19" s="178" t="str">
        <f>IFERROR(VLOOKUP(O19,Реестр!#REF!,3,0)*Q19/P19,"")</f>
        <v/>
      </c>
    </row>
    <row r="20" spans="1:12" s="160" customFormat="1" ht="18" customHeight="1" x14ac:dyDescent="0.3">
      <c r="A20" s="189"/>
      <c r="B20" s="189"/>
      <c r="C20" s="189"/>
      <c r="D20" s="189"/>
      <c r="E20" s="195"/>
      <c r="F20" s="194"/>
      <c r="G20" s="191"/>
      <c r="H20" s="192"/>
      <c r="I20" s="193"/>
      <c r="J20" s="178"/>
    </row>
    <row r="21" spans="1:12" s="160" customFormat="1" ht="18.75" x14ac:dyDescent="0.3">
      <c r="A21" s="494" t="s">
        <v>16</v>
      </c>
      <c r="B21" s="494"/>
      <c r="C21" s="494"/>
      <c r="D21" s="494"/>
      <c r="E21" s="494"/>
      <c r="F21" s="494"/>
      <c r="G21" s="164"/>
      <c r="H21" s="149"/>
      <c r="I21" s="150">
        <f>SUM(I14:I20)</f>
        <v>162.94999999999999</v>
      </c>
      <c r="J21" s="149">
        <v>127.79</v>
      </c>
      <c r="K21" s="163">
        <f>J21-I21</f>
        <v>-35.159999999999982</v>
      </c>
    </row>
    <row r="22" spans="1:12" s="160" customFormat="1" ht="18.75" x14ac:dyDescent="0.3">
      <c r="A22" s="463" t="s">
        <v>500</v>
      </c>
      <c r="B22" s="463"/>
      <c r="C22" s="463"/>
      <c r="D22" s="463"/>
      <c r="E22" s="463"/>
      <c r="F22" s="463"/>
      <c r="G22" s="463"/>
      <c r="H22" s="463"/>
      <c r="I22" s="463"/>
      <c r="J22" s="177"/>
    </row>
    <row r="23" spans="1:12" s="160" customFormat="1" ht="18.75" x14ac:dyDescent="0.25">
      <c r="A23" s="151">
        <v>20.9</v>
      </c>
      <c r="B23" s="151">
        <v>3.6</v>
      </c>
      <c r="C23" s="151">
        <v>6.6</v>
      </c>
      <c r="D23" s="151">
        <v>114</v>
      </c>
      <c r="E23" s="152" t="s">
        <v>626</v>
      </c>
      <c r="F23" s="326" t="s">
        <v>627</v>
      </c>
      <c r="G23" s="153" t="str">
        <f>IFERROR(VLOOKUP(F23,[1]Реестр!A:K,2,0),"")</f>
        <v/>
      </c>
      <c r="H23" s="152">
        <v>30</v>
      </c>
      <c r="I23" s="157">
        <v>7.43</v>
      </c>
      <c r="J23" s="177"/>
    </row>
    <row r="24" spans="1:12" s="160" customFormat="1" ht="18.75" x14ac:dyDescent="0.3">
      <c r="A24" s="189">
        <v>21.712499999999999</v>
      </c>
      <c r="B24" s="189">
        <v>11.317500000000001</v>
      </c>
      <c r="C24" s="189">
        <v>38.486249999999998</v>
      </c>
      <c r="D24" s="189">
        <v>342.65249999999997</v>
      </c>
      <c r="E24" s="190" t="s">
        <v>630</v>
      </c>
      <c r="F24" s="273" t="s">
        <v>631</v>
      </c>
      <c r="G24" s="191" t="str">
        <f>IFERROR(VLOOKUP(F24,[2]Реестр!A:K,2,0),"")</f>
        <v/>
      </c>
      <c r="H24" s="192">
        <v>250</v>
      </c>
      <c r="I24" s="192">
        <v>109.55</v>
      </c>
      <c r="J24" s="178" t="str">
        <f>IFERROR(VLOOKUP(O24,Реестр!#REF!,3,0)*Q24/P24,"")</f>
        <v/>
      </c>
    </row>
    <row r="25" spans="1:12" s="160" customFormat="1" ht="18.75" x14ac:dyDescent="0.3">
      <c r="A25" s="189">
        <v>0.2</v>
      </c>
      <c r="B25" s="189">
        <v>0</v>
      </c>
      <c r="C25" s="189">
        <v>13.7</v>
      </c>
      <c r="D25" s="189">
        <v>53</v>
      </c>
      <c r="E25" s="190" t="s">
        <v>353</v>
      </c>
      <c r="F25" s="273" t="s">
        <v>499</v>
      </c>
      <c r="G25" s="191" t="str">
        <f>IFERROR(VLOOKUP(F25,[2]Реестр!A:K,2,0),"")</f>
        <v>200</v>
      </c>
      <c r="H25" s="192">
        <v>200</v>
      </c>
      <c r="I25" s="193">
        <v>4.38</v>
      </c>
      <c r="J25" s="178"/>
    </row>
    <row r="26" spans="1:12" s="160" customFormat="1" ht="18.75" x14ac:dyDescent="0.3">
      <c r="A26" s="189">
        <v>2.64</v>
      </c>
      <c r="B26" s="189">
        <v>0.24</v>
      </c>
      <c r="C26" s="189">
        <v>18.72</v>
      </c>
      <c r="D26" s="189">
        <v>89.6</v>
      </c>
      <c r="E26" s="190" t="s">
        <v>471</v>
      </c>
      <c r="F26" s="194" t="s">
        <v>66</v>
      </c>
      <c r="G26" s="191" t="str">
        <f>IFERROR(VLOOKUP(F26,[2]Реестр!A:K,2,0),"")</f>
        <v>100</v>
      </c>
      <c r="H26" s="192">
        <v>40</v>
      </c>
      <c r="I26" s="193">
        <v>3.6</v>
      </c>
      <c r="J26" s="178" t="str">
        <f>IFERROR(VLOOKUP(O26,Реестр!#REF!,3,0)*Q26/P26,"")</f>
        <v/>
      </c>
    </row>
    <row r="27" spans="1:12" s="160" customFormat="1" ht="18.75" x14ac:dyDescent="0.3">
      <c r="A27" s="189">
        <v>2.64</v>
      </c>
      <c r="B27" s="189">
        <v>0.48</v>
      </c>
      <c r="C27" s="189">
        <v>13.36</v>
      </c>
      <c r="D27" s="189">
        <v>77.2</v>
      </c>
      <c r="E27" s="190" t="s">
        <v>471</v>
      </c>
      <c r="F27" s="194" t="s">
        <v>65</v>
      </c>
      <c r="G27" s="191" t="str">
        <f>IFERROR(VLOOKUP(F27,[2]Реестр!A:K,2,0),"")</f>
        <v>100</v>
      </c>
      <c r="H27" s="192">
        <v>40</v>
      </c>
      <c r="I27" s="193">
        <v>3.6</v>
      </c>
      <c r="J27" s="178"/>
    </row>
    <row r="28" spans="1:12" s="160" customFormat="1" ht="18.75" x14ac:dyDescent="0.3">
      <c r="A28" s="189"/>
      <c r="B28" s="189"/>
      <c r="C28" s="189"/>
      <c r="D28" s="189"/>
      <c r="E28" s="190"/>
      <c r="F28" s="194"/>
      <c r="G28" s="191"/>
      <c r="H28" s="192"/>
      <c r="I28" s="193"/>
      <c r="J28" s="178" t="str">
        <f>IFERROR(VLOOKUP(O28,Реестр!#REF!,3,0)*Q28/P28,"")</f>
        <v/>
      </c>
    </row>
    <row r="29" spans="1:12" s="160" customFormat="1" ht="18.75" x14ac:dyDescent="0.3">
      <c r="A29" s="498" t="s">
        <v>16</v>
      </c>
      <c r="B29" s="499"/>
      <c r="C29" s="499"/>
      <c r="D29" s="499"/>
      <c r="E29" s="499"/>
      <c r="F29" s="500"/>
      <c r="G29" s="164"/>
      <c r="H29" s="149"/>
      <c r="I29" s="150">
        <f>SUM(I23:I28)</f>
        <v>128.55999999999997</v>
      </c>
      <c r="J29" s="149">
        <v>98.52</v>
      </c>
      <c r="K29" s="163">
        <f>I29-J29</f>
        <v>30.039999999999978</v>
      </c>
      <c r="L29" s="163"/>
    </row>
    <row r="30" spans="1:12" ht="18.75" hidden="1" x14ac:dyDescent="0.3">
      <c r="A30" s="513" t="s">
        <v>501</v>
      </c>
      <c r="B30" s="513"/>
      <c r="C30" s="513"/>
      <c r="D30" s="513"/>
      <c r="E30" s="513"/>
      <c r="F30" s="513"/>
      <c r="G30" s="513"/>
      <c r="H30" s="513"/>
      <c r="I30" s="513"/>
      <c r="J30" s="289"/>
    </row>
    <row r="31" spans="1:12" ht="18.75" hidden="1" x14ac:dyDescent="0.3">
      <c r="A31" s="295">
        <v>14.01</v>
      </c>
      <c r="B31" s="296">
        <v>6.2079999999999993</v>
      </c>
      <c r="C31" s="296">
        <v>12.072000000000001</v>
      </c>
      <c r="D31" s="296">
        <v>117.68388800000001</v>
      </c>
      <c r="E31" s="297" t="s">
        <v>628</v>
      </c>
      <c r="F31" s="295" t="s">
        <v>629</v>
      </c>
      <c r="G31" s="298" t="str">
        <f>IFERROR(VLOOKUP(F31,[2]Реестр!A:K,2,0),"")</f>
        <v/>
      </c>
      <c r="H31" s="297">
        <v>100</v>
      </c>
      <c r="I31" s="299">
        <v>27.91</v>
      </c>
      <c r="J31" s="289"/>
    </row>
    <row r="32" spans="1:12" ht="18.75" hidden="1" x14ac:dyDescent="0.3">
      <c r="A32" s="296">
        <v>8.9166666666666661</v>
      </c>
      <c r="B32" s="296">
        <v>7.75</v>
      </c>
      <c r="C32" s="296">
        <v>19.5</v>
      </c>
      <c r="D32" s="296">
        <v>185</v>
      </c>
      <c r="E32" s="297" t="s">
        <v>213</v>
      </c>
      <c r="F32" s="295" t="s">
        <v>212</v>
      </c>
      <c r="G32" s="298" t="str">
        <f>IFERROR(VLOOKUP(F32,[2]Реестр!A:K,2,0),"")</f>
        <v>300</v>
      </c>
      <c r="H32" s="300">
        <v>250</v>
      </c>
      <c r="I32" s="301">
        <v>42</v>
      </c>
      <c r="J32" s="291"/>
      <c r="K32" s="293">
        <f>I38-J32</f>
        <v>192.83999999999997</v>
      </c>
    </row>
    <row r="33" spans="1:12" ht="18.75" hidden="1" x14ac:dyDescent="0.3">
      <c r="A33" s="296">
        <v>21.712499999999999</v>
      </c>
      <c r="B33" s="296">
        <v>11.317500000000001</v>
      </c>
      <c r="C33" s="296">
        <v>38.486249999999998</v>
      </c>
      <c r="D33" s="296">
        <v>342.65249999999997</v>
      </c>
      <c r="E33" s="297" t="s">
        <v>630</v>
      </c>
      <c r="F33" s="295" t="s">
        <v>631</v>
      </c>
      <c r="G33" s="298" t="str">
        <f>IFERROR(VLOOKUP(F33,[2]Реестр!A:K,2,0),"")</f>
        <v/>
      </c>
      <c r="H33" s="300">
        <v>250</v>
      </c>
      <c r="I33" s="300">
        <v>109.55</v>
      </c>
      <c r="J33" s="284"/>
    </row>
    <row r="34" spans="1:12" ht="18.75" hidden="1" x14ac:dyDescent="0.3">
      <c r="A34" s="296">
        <v>0.2</v>
      </c>
      <c r="B34" s="296">
        <v>0</v>
      </c>
      <c r="C34" s="296">
        <v>13.7</v>
      </c>
      <c r="D34" s="296">
        <v>53</v>
      </c>
      <c r="E34" s="297" t="s">
        <v>353</v>
      </c>
      <c r="F34" s="295" t="s">
        <v>499</v>
      </c>
      <c r="G34" s="298" t="str">
        <f>IFERROR(VLOOKUP(F34,[2]Реестр!A:K,2,0),"")</f>
        <v>200</v>
      </c>
      <c r="H34" s="300">
        <v>200</v>
      </c>
      <c r="I34" s="301">
        <v>4.38</v>
      </c>
      <c r="J34" s="284"/>
    </row>
    <row r="35" spans="1:12" ht="18.75" hidden="1" x14ac:dyDescent="0.3">
      <c r="A35" s="296">
        <v>3.3</v>
      </c>
      <c r="B35" s="296">
        <v>0.3</v>
      </c>
      <c r="C35" s="296">
        <v>23.4</v>
      </c>
      <c r="D35" s="296">
        <v>112</v>
      </c>
      <c r="E35" s="297" t="s">
        <v>471</v>
      </c>
      <c r="F35" s="302" t="s">
        <v>66</v>
      </c>
      <c r="G35" s="298" t="str">
        <f>IFERROR(VLOOKUP(F35,[2]Реестр!A:K,2,0),"")</f>
        <v>100</v>
      </c>
      <c r="H35" s="300">
        <v>50</v>
      </c>
      <c r="I35" s="301">
        <v>4.5</v>
      </c>
      <c r="J35" s="284"/>
    </row>
    <row r="36" spans="1:12" ht="18.75" hidden="1" x14ac:dyDescent="0.3">
      <c r="A36" s="296">
        <v>3.3</v>
      </c>
      <c r="B36" s="296">
        <v>0.6</v>
      </c>
      <c r="C36" s="296">
        <v>16.7</v>
      </c>
      <c r="D36" s="296">
        <v>96.5</v>
      </c>
      <c r="E36" s="297" t="s">
        <v>471</v>
      </c>
      <c r="F36" s="302" t="s">
        <v>65</v>
      </c>
      <c r="G36" s="298" t="str">
        <f>IFERROR(VLOOKUP(F36,[2]Реестр!A:K,2,0),"")</f>
        <v>100</v>
      </c>
      <c r="H36" s="300">
        <v>50</v>
      </c>
      <c r="I36" s="301">
        <v>4.5</v>
      </c>
      <c r="J36" s="304"/>
    </row>
    <row r="37" spans="1:12" ht="18.75" hidden="1" x14ac:dyDescent="0.3">
      <c r="A37" s="296"/>
      <c r="B37" s="296"/>
      <c r="C37" s="296"/>
      <c r="D37" s="296"/>
      <c r="E37" s="303"/>
      <c r="F37" s="302"/>
      <c r="G37" s="298"/>
      <c r="H37" s="300"/>
      <c r="I37" s="301"/>
      <c r="J37" s="304"/>
    </row>
    <row r="38" spans="1:12" ht="18.75" hidden="1" x14ac:dyDescent="0.3">
      <c r="A38" s="505" t="s">
        <v>16</v>
      </c>
      <c r="B38" s="506"/>
      <c r="C38" s="506"/>
      <c r="D38" s="506"/>
      <c r="E38" s="506"/>
      <c r="F38" s="507"/>
      <c r="G38" s="294"/>
      <c r="H38" s="291"/>
      <c r="I38" s="288">
        <f>SUM(I31:I37)</f>
        <v>192.83999999999997</v>
      </c>
      <c r="J38" s="291">
        <v>147.79</v>
      </c>
      <c r="K38" s="293">
        <f>I38-J38</f>
        <v>45.049999999999983</v>
      </c>
    </row>
    <row r="39" spans="1:12" s="160" customFormat="1" ht="18.75" x14ac:dyDescent="0.3">
      <c r="A39" s="463" t="s">
        <v>18</v>
      </c>
      <c r="B39" s="463"/>
      <c r="C39" s="463"/>
      <c r="D39" s="463"/>
      <c r="E39" s="463"/>
      <c r="F39" s="463"/>
      <c r="G39" s="463"/>
      <c r="H39" s="463"/>
      <c r="I39" s="463"/>
      <c r="J39" s="275"/>
    </row>
    <row r="40" spans="1:12" s="160" customFormat="1" ht="18.75" x14ac:dyDescent="0.3">
      <c r="A40" s="463" t="s">
        <v>19</v>
      </c>
      <c r="B40" s="463"/>
      <c r="C40" s="463"/>
      <c r="D40" s="463"/>
      <c r="E40" s="463"/>
      <c r="F40" s="463"/>
      <c r="G40" s="463"/>
      <c r="H40" s="463"/>
      <c r="I40" s="463"/>
      <c r="J40" s="275"/>
    </row>
    <row r="41" spans="1:12" s="160" customFormat="1" ht="18.75" x14ac:dyDescent="0.3">
      <c r="A41" s="151">
        <f>IFERROR(VLOOKUP(F41,[1]Реестр!A:K,3,0)*H41/G41,"")</f>
        <v>3.8</v>
      </c>
      <c r="B41" s="151">
        <f>IFERROR(VLOOKUP(F41,[1]Реестр!A:K,4,0)*H41/G41,"")</f>
        <v>6.6</v>
      </c>
      <c r="C41" s="151">
        <f>IFERROR(VLOOKUP(F41,[1]Реестр!A:K,5,0)*H41/G41,"")</f>
        <v>9.6999999999999993</v>
      </c>
      <c r="D41" s="151">
        <f>IFERROR(VLOOKUP(F41,[1]Реестр!A:K,6,0)*H41/G41,"")</f>
        <v>116</v>
      </c>
      <c r="E41" s="152" t="str">
        <f>IFERROR(VLOOKUP(F41,[1]Реестр!A:K,11,0),"")</f>
        <v>1*58</v>
      </c>
      <c r="F41" s="161" t="s">
        <v>527</v>
      </c>
      <c r="G41" s="153" t="str">
        <f>IFERROR(VLOOKUP(F41,[1]Реестр!A:K,2,0),"")</f>
        <v>35</v>
      </c>
      <c r="H41" s="152">
        <v>35</v>
      </c>
      <c r="I41" s="150">
        <v>26.85</v>
      </c>
      <c r="J41" s="275" t="s">
        <v>20</v>
      </c>
    </row>
    <row r="42" spans="1:12" s="160" customFormat="1" ht="18.75" x14ac:dyDescent="0.3">
      <c r="A42" s="151">
        <v>9.75</v>
      </c>
      <c r="B42" s="151">
        <v>12.14</v>
      </c>
      <c r="C42" s="151">
        <v>36.06</v>
      </c>
      <c r="D42" s="151">
        <v>291.64</v>
      </c>
      <c r="E42" s="152" t="s">
        <v>133</v>
      </c>
      <c r="F42" s="326" t="s">
        <v>614</v>
      </c>
      <c r="G42" s="153" t="str">
        <f>IFERROR(VLOOKUP(F42,[1]Реестр!A:K,2,0),"")</f>
        <v/>
      </c>
      <c r="H42" s="152">
        <v>230</v>
      </c>
      <c r="I42" s="150">
        <v>38.270000000000003</v>
      </c>
      <c r="J42" s="275" t="s">
        <v>537</v>
      </c>
      <c r="K42" s="165"/>
      <c r="L42" s="165"/>
    </row>
    <row r="43" spans="1:12" s="160" customFormat="1" ht="18.75" x14ac:dyDescent="0.3">
      <c r="A43" s="151">
        <f>IFERROR(VLOOKUP(F43,[1]Реестр!A:K,3,0)*H43/G43,"")</f>
        <v>0.15</v>
      </c>
      <c r="B43" s="151">
        <f>IFERROR(VLOOKUP(F43,[1]Реестр!A:K,4,0)*H43/G43,"")</f>
        <v>0.09</v>
      </c>
      <c r="C43" s="151">
        <f>IFERROR(VLOOKUP(F43,[1]Реестр!A:K,5,0)*H43/G43,"")</f>
        <v>8.58</v>
      </c>
      <c r="D43" s="151">
        <f>IFERROR(VLOOKUP(F43,[1]Реестр!A:K,6,0)*H43/G43,"")</f>
        <v>34.799999999999997</v>
      </c>
      <c r="E43" s="152" t="str">
        <f>IFERROR(VLOOKUP(F43,[1]Реестр!A:K,11,0),"")</f>
        <v>12*2</v>
      </c>
      <c r="F43" s="277" t="s">
        <v>371</v>
      </c>
      <c r="G43" s="153" t="str">
        <f>IFERROR(VLOOKUP(F43,[1]Реестр!A:K,2,0),"")</f>
        <v>100</v>
      </c>
      <c r="H43" s="152">
        <v>30</v>
      </c>
      <c r="I43" s="150">
        <v>17.559999999999999</v>
      </c>
      <c r="J43" s="275" t="s">
        <v>477</v>
      </c>
      <c r="K43" s="165"/>
      <c r="L43" s="165"/>
    </row>
    <row r="44" spans="1:12" s="160" customFormat="1" ht="18.75" x14ac:dyDescent="0.3">
      <c r="A44" s="151">
        <f>IFERROR(VLOOKUP(F44,[1]Реестр!A:K,3,0)*H44/G44,"")</f>
        <v>3.6</v>
      </c>
      <c r="B44" s="151">
        <f>IFERROR(VLOOKUP(F44,[1]Реестр!A:K,4,0)*H44/G44,"")</f>
        <v>2.7</v>
      </c>
      <c r="C44" s="151">
        <f>IFERROR(VLOOKUP(F44,[1]Реестр!A:K,5,0)*H44/G44,"")</f>
        <v>22.9</v>
      </c>
      <c r="D44" s="151">
        <f>IFERROR(VLOOKUP(F44,[1]Реестр!A:K,6,0)*H44/G44,"")</f>
        <v>127</v>
      </c>
      <c r="E44" s="152" t="str">
        <f>IFERROR(VLOOKUP(F44,[1]Реестр!A:K,11,0),"")</f>
        <v>11*51</v>
      </c>
      <c r="F44" s="277" t="s">
        <v>342</v>
      </c>
      <c r="G44" s="153">
        <f>IFERROR(VLOOKUP(F44,[1]Реестр!A:K,2,0),"")</f>
        <v>200</v>
      </c>
      <c r="H44" s="149">
        <v>200</v>
      </c>
      <c r="I44" s="150">
        <v>24.16</v>
      </c>
      <c r="J44" s="275" t="s">
        <v>479</v>
      </c>
      <c r="K44" s="165"/>
      <c r="L44" s="165"/>
    </row>
    <row r="45" spans="1:12" s="160" customFormat="1" ht="18.75" x14ac:dyDescent="0.3">
      <c r="A45" s="151">
        <f>IFERROR(VLOOKUP(F45,[1]Реестр!A:K,3,0)*H45/G45,"")</f>
        <v>1.32</v>
      </c>
      <c r="B45" s="151">
        <f>IFERROR(VLOOKUP(F45,[1]Реестр!A:K,4,0)*H45/G45,"")</f>
        <v>0.24</v>
      </c>
      <c r="C45" s="151">
        <f>IFERROR(VLOOKUP(F45,[1]Реестр!A:K,5,0)*H45/G45,"")</f>
        <v>6.68</v>
      </c>
      <c r="D45" s="151">
        <f>IFERROR(VLOOKUP(F45,[1]Реестр!A:K,6,0)*H45/G45,"")</f>
        <v>38.6</v>
      </c>
      <c r="E45" s="152" t="str">
        <f>IFERROR(VLOOKUP(F45,[1]Реестр!A:K,11,0),"")</f>
        <v>-</v>
      </c>
      <c r="F45" s="162" t="s">
        <v>65</v>
      </c>
      <c r="G45" s="153" t="str">
        <f>IFERROR(VLOOKUP(F45,[1]Реестр!A:K,2,0),"")</f>
        <v>100</v>
      </c>
      <c r="H45" s="149">
        <v>20</v>
      </c>
      <c r="I45" s="150">
        <v>1.8</v>
      </c>
      <c r="J45" s="275" t="s">
        <v>475</v>
      </c>
      <c r="K45" s="166"/>
      <c r="L45" s="165"/>
    </row>
    <row r="46" spans="1:12" s="160" customFormat="1" ht="18.75" x14ac:dyDescent="0.3">
      <c r="A46" s="501" t="s">
        <v>25</v>
      </c>
      <c r="B46" s="502"/>
      <c r="C46" s="502"/>
      <c r="D46" s="502"/>
      <c r="E46" s="502"/>
      <c r="F46" s="502"/>
      <c r="G46" s="502"/>
      <c r="H46" s="502"/>
      <c r="I46" s="503"/>
      <c r="J46" s="275"/>
    </row>
    <row r="47" spans="1:12" s="158" customFormat="1" ht="18.75" x14ac:dyDescent="0.25">
      <c r="A47" s="273">
        <v>14.01</v>
      </c>
      <c r="B47" s="189">
        <v>6.2079999999999993</v>
      </c>
      <c r="C47" s="189">
        <v>12.072000000000001</v>
      </c>
      <c r="D47" s="189">
        <v>117.68388800000001</v>
      </c>
      <c r="E47" s="190" t="s">
        <v>628</v>
      </c>
      <c r="F47" s="273" t="s">
        <v>629</v>
      </c>
      <c r="G47" s="191" t="str">
        <f>IFERROR(VLOOKUP(F47,[2]Реестр!A:K,2,0),"")</f>
        <v/>
      </c>
      <c r="H47" s="190">
        <v>80</v>
      </c>
      <c r="I47" s="274">
        <v>21.73</v>
      </c>
      <c r="J47" s="179" t="s">
        <v>538</v>
      </c>
    </row>
    <row r="48" spans="1:12" s="160" customFormat="1" ht="18.75" x14ac:dyDescent="0.3">
      <c r="A48" s="189">
        <v>8.9166666666666661</v>
      </c>
      <c r="B48" s="189">
        <v>7.75</v>
      </c>
      <c r="C48" s="189">
        <v>19.5</v>
      </c>
      <c r="D48" s="189">
        <v>185</v>
      </c>
      <c r="E48" s="190" t="s">
        <v>213</v>
      </c>
      <c r="F48" s="273" t="s">
        <v>212</v>
      </c>
      <c r="G48" s="191" t="str">
        <f>IFERROR(VLOOKUP(F48,[2]Реестр!A:K,2,0),"")</f>
        <v>300</v>
      </c>
      <c r="H48" s="192">
        <v>250</v>
      </c>
      <c r="I48" s="193">
        <v>42</v>
      </c>
      <c r="J48" s="275" t="s">
        <v>478</v>
      </c>
    </row>
    <row r="49" spans="1:11" s="160" customFormat="1" ht="18.75" x14ac:dyDescent="0.3">
      <c r="A49" s="189">
        <v>17.37</v>
      </c>
      <c r="B49" s="189">
        <v>9.0540000000000003</v>
      </c>
      <c r="C49" s="189">
        <v>30.789000000000001</v>
      </c>
      <c r="D49" s="189">
        <v>274.12200000000001</v>
      </c>
      <c r="E49" s="190" t="s">
        <v>630</v>
      </c>
      <c r="F49" s="273" t="s">
        <v>631</v>
      </c>
      <c r="G49" s="191" t="str">
        <f>IFERROR(VLOOKUP(F49,[2]Реестр!A:K,2,0),"")</f>
        <v/>
      </c>
      <c r="H49" s="192">
        <v>200</v>
      </c>
      <c r="I49" s="192">
        <v>87.64</v>
      </c>
      <c r="J49" s="275" t="s">
        <v>537</v>
      </c>
    </row>
    <row r="50" spans="1:11" s="160" customFormat="1" ht="18.75" x14ac:dyDescent="0.3">
      <c r="A50" s="189">
        <v>0.2</v>
      </c>
      <c r="B50" s="189">
        <v>0</v>
      </c>
      <c r="C50" s="189">
        <v>13.7</v>
      </c>
      <c r="D50" s="189">
        <v>53</v>
      </c>
      <c r="E50" s="190" t="s">
        <v>353</v>
      </c>
      <c r="F50" s="273" t="s">
        <v>499</v>
      </c>
      <c r="G50" s="191" t="str">
        <f>IFERROR(VLOOKUP(F50,[2]Реестр!A:K,2,0),"")</f>
        <v>200</v>
      </c>
      <c r="H50" s="192">
        <v>200</v>
      </c>
      <c r="I50" s="193">
        <v>4.38</v>
      </c>
      <c r="J50" s="275" t="s">
        <v>29</v>
      </c>
    </row>
    <row r="51" spans="1:11" s="160" customFormat="1" ht="18.75" x14ac:dyDescent="0.3">
      <c r="A51" s="189">
        <v>2.64</v>
      </c>
      <c r="B51" s="189">
        <v>0.24</v>
      </c>
      <c r="C51" s="189">
        <v>18.72</v>
      </c>
      <c r="D51" s="189">
        <v>89.6</v>
      </c>
      <c r="E51" s="190" t="s">
        <v>471</v>
      </c>
      <c r="F51" s="194" t="s">
        <v>66</v>
      </c>
      <c r="G51" s="191" t="str">
        <f>IFERROR(VLOOKUP(F51,[2]Реестр!A:K,2,0),"")</f>
        <v>100</v>
      </c>
      <c r="H51" s="192">
        <v>40</v>
      </c>
      <c r="I51" s="193">
        <v>3.6</v>
      </c>
      <c r="J51" s="275" t="s">
        <v>479</v>
      </c>
    </row>
    <row r="52" spans="1:11" s="160" customFormat="1" ht="18.75" x14ac:dyDescent="0.3">
      <c r="A52" s="189">
        <v>2.64</v>
      </c>
      <c r="B52" s="189">
        <v>0.48</v>
      </c>
      <c r="C52" s="189">
        <v>13.36</v>
      </c>
      <c r="D52" s="189">
        <v>77.2</v>
      </c>
      <c r="E52" s="190" t="s">
        <v>471</v>
      </c>
      <c r="F52" s="194" t="s">
        <v>65</v>
      </c>
      <c r="G52" s="191" t="str">
        <f>IFERROR(VLOOKUP(F52,[2]Реестр!A:K,2,0),"")</f>
        <v>100</v>
      </c>
      <c r="H52" s="192">
        <v>40</v>
      </c>
      <c r="I52" s="193">
        <v>3.6</v>
      </c>
      <c r="J52" s="275" t="s">
        <v>539</v>
      </c>
    </row>
    <row r="53" spans="1:11" s="160" customFormat="1" ht="18.75" x14ac:dyDescent="0.3">
      <c r="A53" s="189"/>
      <c r="B53" s="189"/>
      <c r="C53" s="189"/>
      <c r="D53" s="189"/>
      <c r="E53" s="195"/>
      <c r="F53" s="194"/>
      <c r="G53" s="191"/>
      <c r="H53" s="192"/>
      <c r="I53" s="193"/>
      <c r="J53" s="275" t="s">
        <v>540</v>
      </c>
    </row>
    <row r="54" spans="1:11" s="160" customFormat="1" ht="18.75" x14ac:dyDescent="0.3">
      <c r="A54" s="494" t="s">
        <v>16</v>
      </c>
      <c r="B54" s="494"/>
      <c r="C54" s="494"/>
      <c r="D54" s="494"/>
      <c r="E54" s="494"/>
      <c r="F54" s="494"/>
      <c r="G54" s="149"/>
      <c r="H54" s="149"/>
      <c r="I54" s="150">
        <f>SUM(I41:I45,I47:I53)</f>
        <v>271.59000000000003</v>
      </c>
      <c r="J54" s="149">
        <v>212.99</v>
      </c>
      <c r="K54" s="163">
        <f>I54-J54</f>
        <v>58.600000000000023</v>
      </c>
    </row>
    <row r="55" spans="1:11" s="160" customFormat="1" ht="18.75" x14ac:dyDescent="0.3">
      <c r="A55" s="501" t="s">
        <v>33</v>
      </c>
      <c r="B55" s="502"/>
      <c r="C55" s="502"/>
      <c r="D55" s="502"/>
      <c r="E55" s="502"/>
      <c r="F55" s="502"/>
      <c r="G55" s="502"/>
      <c r="H55" s="502"/>
      <c r="I55" s="503"/>
      <c r="J55" s="275"/>
    </row>
    <row r="56" spans="1:11" s="160" customFormat="1" ht="18.75" x14ac:dyDescent="0.3">
      <c r="A56" s="501" t="s">
        <v>19</v>
      </c>
      <c r="B56" s="502"/>
      <c r="C56" s="502"/>
      <c r="D56" s="502"/>
      <c r="E56" s="502"/>
      <c r="F56" s="502"/>
      <c r="G56" s="502"/>
      <c r="H56" s="502"/>
      <c r="I56" s="503"/>
      <c r="J56" s="275"/>
    </row>
    <row r="57" spans="1:11" s="160" customFormat="1" ht="18.75" x14ac:dyDescent="0.3">
      <c r="A57" s="151">
        <f>IFERROR(VLOOKUP(F57,[1]Реестр!A:K,3,0)*H57/G57,"")</f>
        <v>5.08</v>
      </c>
      <c r="B57" s="151">
        <f>IFERROR(VLOOKUP(F57,[1]Реестр!A:K,4,0)*H57/G57,"")</f>
        <v>11.55</v>
      </c>
      <c r="C57" s="151">
        <f>IFERROR(VLOOKUP(F57,[1]Реестр!A:K,5,0)*H57/G57,"")</f>
        <v>9.9700000000000006</v>
      </c>
      <c r="D57" s="151">
        <f>IFERROR(VLOOKUP(F57,[1]Реестр!A:K,6,0)*H57/G57,"")</f>
        <v>164.15</v>
      </c>
      <c r="E57" s="152" t="str">
        <f>IFERROR(VLOOKUP(F57,[1]Реестр!A:K,11,0),"")</f>
        <v>1*51</v>
      </c>
      <c r="F57" s="277" t="s">
        <v>91</v>
      </c>
      <c r="G57" s="153" t="str">
        <f>IFERROR(VLOOKUP(F57,[1]Реестр!A:K,2,0),"")</f>
        <v>45</v>
      </c>
      <c r="H57" s="149">
        <v>45</v>
      </c>
      <c r="I57" s="150">
        <v>35.799999999999997</v>
      </c>
      <c r="J57" s="275" t="s">
        <v>20</v>
      </c>
    </row>
    <row r="58" spans="1:11" s="160" customFormat="1" ht="18.75" x14ac:dyDescent="0.3">
      <c r="A58" s="151">
        <v>9.75</v>
      </c>
      <c r="B58" s="151">
        <v>12.14</v>
      </c>
      <c r="C58" s="151">
        <v>36.06</v>
      </c>
      <c r="D58" s="151">
        <v>291.64</v>
      </c>
      <c r="E58" s="152" t="s">
        <v>133</v>
      </c>
      <c r="F58" s="326" t="s">
        <v>614</v>
      </c>
      <c r="G58" s="153" t="str">
        <f>IFERROR(VLOOKUP(F58,[1]Реестр!A:K,2,0),"")</f>
        <v/>
      </c>
      <c r="H58" s="152">
        <v>250</v>
      </c>
      <c r="I58" s="150">
        <v>41.59</v>
      </c>
      <c r="J58" s="275" t="s">
        <v>537</v>
      </c>
    </row>
    <row r="59" spans="1:11" s="160" customFormat="1" ht="18.75" x14ac:dyDescent="0.3">
      <c r="A59" s="151">
        <f>IFERROR(VLOOKUP(F59,[1]Реестр!A:K,3,0)*H59/G59,"")</f>
        <v>0.2</v>
      </c>
      <c r="B59" s="151">
        <f>IFERROR(VLOOKUP(F59,[1]Реестр!A:K,4,0)*H59/G59,"")</f>
        <v>0.12</v>
      </c>
      <c r="C59" s="151">
        <f>IFERROR(VLOOKUP(F59,[1]Реестр!A:K,5,0)*H59/G59,"")</f>
        <v>11.44</v>
      </c>
      <c r="D59" s="151">
        <f>IFERROR(VLOOKUP(F59,[1]Реестр!A:K,6,0)*H59/G59,"")</f>
        <v>46.4</v>
      </c>
      <c r="E59" s="152" t="str">
        <f>IFERROR(VLOOKUP(F59,[1]Реестр!A:K,11,0),"")</f>
        <v>12*2</v>
      </c>
      <c r="F59" s="277" t="s">
        <v>371</v>
      </c>
      <c r="G59" s="153" t="str">
        <f>IFERROR(VLOOKUP(F59,[1]Реестр!A:K,2,0),"")</f>
        <v>100</v>
      </c>
      <c r="H59" s="152">
        <v>40</v>
      </c>
      <c r="I59" s="150">
        <v>23.41</v>
      </c>
      <c r="J59" s="275" t="s">
        <v>477</v>
      </c>
    </row>
    <row r="60" spans="1:11" s="160" customFormat="1" ht="18.75" x14ac:dyDescent="0.3">
      <c r="A60" s="151">
        <f>IFERROR(VLOOKUP(F60,[1]Реестр!A:K,3,0)*H60/G60,"")</f>
        <v>3.6</v>
      </c>
      <c r="B60" s="151">
        <f>IFERROR(VLOOKUP(F60,[1]Реестр!A:K,4,0)*H60/G60,"")</f>
        <v>2.7</v>
      </c>
      <c r="C60" s="151">
        <f>IFERROR(VLOOKUP(F60,[1]Реестр!A:K,5,0)*H60/G60,"")</f>
        <v>22.9</v>
      </c>
      <c r="D60" s="151">
        <f>IFERROR(VLOOKUP(F60,[1]Реестр!A:K,6,0)*H60/G60,"")</f>
        <v>127</v>
      </c>
      <c r="E60" s="152" t="str">
        <f>IFERROR(VLOOKUP(F60,[1]Реестр!A:K,11,0),"")</f>
        <v>11*51</v>
      </c>
      <c r="F60" s="277" t="s">
        <v>342</v>
      </c>
      <c r="G60" s="153">
        <f>IFERROR(VLOOKUP(F60,[1]Реестр!A:K,2,0),"")</f>
        <v>200</v>
      </c>
      <c r="H60" s="149">
        <v>200</v>
      </c>
      <c r="I60" s="150">
        <v>24.16</v>
      </c>
      <c r="J60" s="275" t="s">
        <v>541</v>
      </c>
      <c r="K60" s="165"/>
    </row>
    <row r="61" spans="1:11" s="160" customFormat="1" ht="18.75" x14ac:dyDescent="0.3">
      <c r="A61" s="151">
        <f>IFERROR(VLOOKUP(F61,[1]Реестр!A:K,3,0)*H61/G61,"")</f>
        <v>2.64</v>
      </c>
      <c r="B61" s="151">
        <f>IFERROR(VLOOKUP(F61,[1]Реестр!A:K,4,0)*H61/G61,"")</f>
        <v>0.48</v>
      </c>
      <c r="C61" s="151">
        <f>IFERROR(VLOOKUP(F61,[1]Реестр!A:K,5,0)*H61/G61,"")</f>
        <v>13.36</v>
      </c>
      <c r="D61" s="151">
        <f>IFERROR(VLOOKUP(F61,[1]Реестр!A:K,6,0)*H61/G61,"")</f>
        <v>77.2</v>
      </c>
      <c r="E61" s="152" t="str">
        <f>IFERROR(VLOOKUP(F61,[1]Реестр!A:K,11,0),"")</f>
        <v>-</v>
      </c>
      <c r="F61" s="162" t="s">
        <v>65</v>
      </c>
      <c r="G61" s="153" t="str">
        <f>IFERROR(VLOOKUP(F61,[1]Реестр!A:K,2,0),"")</f>
        <v>100</v>
      </c>
      <c r="H61" s="149">
        <v>40</v>
      </c>
      <c r="I61" s="150">
        <v>3.6</v>
      </c>
      <c r="J61" s="275" t="s">
        <v>475</v>
      </c>
      <c r="K61" s="165"/>
    </row>
    <row r="62" spans="1:11" s="160" customFormat="1" ht="18.75" x14ac:dyDescent="0.3">
      <c r="A62" s="501" t="s">
        <v>25</v>
      </c>
      <c r="B62" s="502"/>
      <c r="C62" s="502"/>
      <c r="D62" s="502"/>
      <c r="E62" s="502"/>
      <c r="F62" s="502"/>
      <c r="G62" s="502"/>
      <c r="H62" s="502"/>
      <c r="I62" s="503"/>
      <c r="J62" s="178" t="str">
        <f>IFERROR(VLOOKUP(O62,Реестр!#REF!,3,0)*Q62/P62,"")</f>
        <v/>
      </c>
      <c r="K62" s="165"/>
    </row>
    <row r="63" spans="1:11" s="158" customFormat="1" ht="18.75" x14ac:dyDescent="0.25">
      <c r="A63" s="273">
        <v>14.01</v>
      </c>
      <c r="B63" s="189">
        <v>6.2079999999999993</v>
      </c>
      <c r="C63" s="189">
        <v>12.072000000000001</v>
      </c>
      <c r="D63" s="189">
        <v>117.68388800000001</v>
      </c>
      <c r="E63" s="190" t="s">
        <v>628</v>
      </c>
      <c r="F63" s="273" t="s">
        <v>629</v>
      </c>
      <c r="G63" s="191" t="str">
        <f>IFERROR(VLOOKUP(F63,[2]Реестр!A:K,2,0),"")</f>
        <v/>
      </c>
      <c r="H63" s="190">
        <v>100</v>
      </c>
      <c r="I63" s="274">
        <v>27.91</v>
      </c>
      <c r="J63" s="179" t="s">
        <v>538</v>
      </c>
      <c r="K63" s="167"/>
    </row>
    <row r="64" spans="1:11" s="160" customFormat="1" ht="18.75" x14ac:dyDescent="0.3">
      <c r="A64" s="189">
        <v>8.9166666666666661</v>
      </c>
      <c r="B64" s="189">
        <v>7.75</v>
      </c>
      <c r="C64" s="189">
        <v>19.5</v>
      </c>
      <c r="D64" s="189">
        <v>185</v>
      </c>
      <c r="E64" s="190" t="s">
        <v>213</v>
      </c>
      <c r="F64" s="273" t="s">
        <v>212</v>
      </c>
      <c r="G64" s="191" t="str">
        <f>IFERROR(VLOOKUP(F64,[2]Реестр!A:K,2,0),"")</f>
        <v>300</v>
      </c>
      <c r="H64" s="192">
        <v>250</v>
      </c>
      <c r="I64" s="193">
        <v>42</v>
      </c>
      <c r="J64" s="275" t="s">
        <v>478</v>
      </c>
      <c r="K64" s="165"/>
    </row>
    <row r="65" spans="1:12" s="160" customFormat="1" ht="18.75" x14ac:dyDescent="0.3">
      <c r="A65" s="189">
        <v>21.712499999999999</v>
      </c>
      <c r="B65" s="189">
        <v>11.317500000000001</v>
      </c>
      <c r="C65" s="189">
        <v>38.486249999999998</v>
      </c>
      <c r="D65" s="189">
        <v>342.65249999999997</v>
      </c>
      <c r="E65" s="190" t="s">
        <v>630</v>
      </c>
      <c r="F65" s="273" t="s">
        <v>631</v>
      </c>
      <c r="G65" s="191" t="str">
        <f>IFERROR(VLOOKUP(F65,[2]Реестр!A:K,2,0),"")</f>
        <v/>
      </c>
      <c r="H65" s="192">
        <v>250</v>
      </c>
      <c r="I65" s="192">
        <v>109.55</v>
      </c>
      <c r="J65" s="275" t="s">
        <v>537</v>
      </c>
      <c r="K65" s="165"/>
    </row>
    <row r="66" spans="1:12" s="160" customFormat="1" ht="18.75" x14ac:dyDescent="0.3">
      <c r="A66" s="189">
        <v>0.2</v>
      </c>
      <c r="B66" s="189">
        <v>0</v>
      </c>
      <c r="C66" s="189">
        <v>13.7</v>
      </c>
      <c r="D66" s="189">
        <v>53</v>
      </c>
      <c r="E66" s="190" t="s">
        <v>353</v>
      </c>
      <c r="F66" s="273" t="s">
        <v>499</v>
      </c>
      <c r="G66" s="191" t="str">
        <f>IFERROR(VLOOKUP(F66,[2]Реестр!A:K,2,0),"")</f>
        <v>200</v>
      </c>
      <c r="H66" s="192">
        <v>200</v>
      </c>
      <c r="I66" s="193">
        <v>4.38</v>
      </c>
      <c r="J66" s="275" t="s">
        <v>29</v>
      </c>
      <c r="K66" s="165"/>
    </row>
    <row r="67" spans="1:12" s="160" customFormat="1" ht="18.75" x14ac:dyDescent="0.3">
      <c r="A67" s="189">
        <v>3.3</v>
      </c>
      <c r="B67" s="189">
        <v>0.3</v>
      </c>
      <c r="C67" s="189">
        <v>23.4</v>
      </c>
      <c r="D67" s="189">
        <v>112</v>
      </c>
      <c r="E67" s="190" t="s">
        <v>471</v>
      </c>
      <c r="F67" s="194" t="s">
        <v>66</v>
      </c>
      <c r="G67" s="191" t="str">
        <f>IFERROR(VLOOKUP(F67,[2]Реестр!A:K,2,0),"")</f>
        <v>100</v>
      </c>
      <c r="H67" s="192">
        <v>50</v>
      </c>
      <c r="I67" s="193">
        <v>4.5</v>
      </c>
      <c r="J67" s="275" t="s">
        <v>479</v>
      </c>
      <c r="K67" s="163"/>
    </row>
    <row r="68" spans="1:12" s="160" customFormat="1" ht="18.75" x14ac:dyDescent="0.3">
      <c r="A68" s="189">
        <v>3.3</v>
      </c>
      <c r="B68" s="189">
        <v>0.6</v>
      </c>
      <c r="C68" s="189">
        <v>16.7</v>
      </c>
      <c r="D68" s="189">
        <v>96.5</v>
      </c>
      <c r="E68" s="190" t="s">
        <v>471</v>
      </c>
      <c r="F68" s="194" t="s">
        <v>65</v>
      </c>
      <c r="G68" s="191" t="str">
        <f>IFERROR(VLOOKUP(F68,[2]Реестр!A:K,2,0),"")</f>
        <v>100</v>
      </c>
      <c r="H68" s="192">
        <v>50</v>
      </c>
      <c r="I68" s="193">
        <v>4.5</v>
      </c>
      <c r="J68" s="275" t="s">
        <v>23</v>
      </c>
    </row>
    <row r="69" spans="1:12" s="160" customFormat="1" ht="18.75" x14ac:dyDescent="0.3">
      <c r="A69" s="189"/>
      <c r="B69" s="189"/>
      <c r="C69" s="189"/>
      <c r="D69" s="189"/>
      <c r="E69" s="195"/>
      <c r="F69" s="194"/>
      <c r="G69" s="191"/>
      <c r="H69" s="192"/>
      <c r="I69" s="193"/>
      <c r="J69" s="275" t="s">
        <v>540</v>
      </c>
    </row>
    <row r="70" spans="1:12" s="160" customFormat="1" ht="18" customHeight="1" x14ac:dyDescent="0.3">
      <c r="A70" s="494" t="s">
        <v>16</v>
      </c>
      <c r="B70" s="494"/>
      <c r="C70" s="494"/>
      <c r="D70" s="494"/>
      <c r="E70" s="494"/>
      <c r="F70" s="494"/>
      <c r="G70" s="149"/>
      <c r="H70" s="149"/>
      <c r="I70" s="150">
        <f>SUM(I57:I61)+SUM(I63:I69)</f>
        <v>321.39999999999998</v>
      </c>
      <c r="J70" s="178">
        <v>246.31</v>
      </c>
      <c r="K70" s="163">
        <f>J70-I70</f>
        <v>-75.089999999999975</v>
      </c>
    </row>
    <row r="71" spans="1:12" s="160" customFormat="1" ht="18.75" x14ac:dyDescent="0.3">
      <c r="A71" s="501" t="s">
        <v>34</v>
      </c>
      <c r="B71" s="502"/>
      <c r="C71" s="502"/>
      <c r="D71" s="502"/>
      <c r="E71" s="502"/>
      <c r="F71" s="502"/>
      <c r="G71" s="502"/>
      <c r="H71" s="502"/>
      <c r="I71" s="503"/>
      <c r="J71" s="149"/>
      <c r="K71" s="163"/>
    </row>
    <row r="72" spans="1:12" s="160" customFormat="1" ht="18.75" x14ac:dyDescent="0.25">
      <c r="A72" s="151">
        <v>20.9</v>
      </c>
      <c r="B72" s="151">
        <v>3.6</v>
      </c>
      <c r="C72" s="151">
        <v>6.6</v>
      </c>
      <c r="D72" s="151">
        <v>114</v>
      </c>
      <c r="E72" s="152" t="s">
        <v>626</v>
      </c>
      <c r="F72" s="326" t="s">
        <v>627</v>
      </c>
      <c r="G72" s="153" t="str">
        <f>IFERROR(VLOOKUP(F72,[1]Реестр!A:K,2,0),"")</f>
        <v/>
      </c>
      <c r="H72" s="152">
        <v>30</v>
      </c>
      <c r="I72" s="157">
        <v>7.43</v>
      </c>
      <c r="J72" s="180"/>
    </row>
    <row r="73" spans="1:12" s="160" customFormat="1" ht="18.75" x14ac:dyDescent="0.3">
      <c r="A73" s="189">
        <v>21.712499999999999</v>
      </c>
      <c r="B73" s="189">
        <v>11.317500000000001</v>
      </c>
      <c r="C73" s="189">
        <v>38.486249999999998</v>
      </c>
      <c r="D73" s="189">
        <v>342.65249999999997</v>
      </c>
      <c r="E73" s="190" t="s">
        <v>630</v>
      </c>
      <c r="F73" s="273" t="s">
        <v>631</v>
      </c>
      <c r="G73" s="191" t="str">
        <f>IFERROR(VLOOKUP(F73,[2]Реестр!A:K,2,0),"")</f>
        <v/>
      </c>
      <c r="H73" s="192">
        <v>250</v>
      </c>
      <c r="I73" s="192">
        <v>109.55</v>
      </c>
      <c r="J73" s="180"/>
    </row>
    <row r="74" spans="1:12" s="160" customFormat="1" ht="18.75" x14ac:dyDescent="0.3">
      <c r="A74" s="189">
        <v>0.2</v>
      </c>
      <c r="B74" s="189">
        <v>0</v>
      </c>
      <c r="C74" s="189">
        <v>13.7</v>
      </c>
      <c r="D74" s="189">
        <v>53</v>
      </c>
      <c r="E74" s="190" t="s">
        <v>353</v>
      </c>
      <c r="F74" s="273" t="s">
        <v>499</v>
      </c>
      <c r="G74" s="191" t="str">
        <f>IFERROR(VLOOKUP(F74,[2]Реестр!A:K,2,0),"")</f>
        <v>200</v>
      </c>
      <c r="H74" s="192">
        <v>200</v>
      </c>
      <c r="I74" s="193">
        <v>4.38</v>
      </c>
      <c r="J74" s="180"/>
    </row>
    <row r="75" spans="1:12" s="160" customFormat="1" ht="18.75" x14ac:dyDescent="0.3">
      <c r="A75" s="189">
        <v>2.64</v>
      </c>
      <c r="B75" s="189">
        <v>0.24</v>
      </c>
      <c r="C75" s="189">
        <v>18.72</v>
      </c>
      <c r="D75" s="189">
        <v>89.6</v>
      </c>
      <c r="E75" s="190" t="s">
        <v>471</v>
      </c>
      <c r="F75" s="194" t="s">
        <v>66</v>
      </c>
      <c r="G75" s="191" t="str">
        <f>IFERROR(VLOOKUP(F75,[2]Реестр!A:K,2,0),"")</f>
        <v>100</v>
      </c>
      <c r="H75" s="192">
        <v>40</v>
      </c>
      <c r="I75" s="193">
        <v>3.6</v>
      </c>
      <c r="J75" s="180"/>
    </row>
    <row r="76" spans="1:12" s="160" customFormat="1" ht="18.75" x14ac:dyDescent="0.3">
      <c r="A76" s="189">
        <v>2.64</v>
      </c>
      <c r="B76" s="189">
        <v>0.48</v>
      </c>
      <c r="C76" s="189">
        <v>13.36</v>
      </c>
      <c r="D76" s="189">
        <v>77.2</v>
      </c>
      <c r="E76" s="190" t="s">
        <v>471</v>
      </c>
      <c r="F76" s="194" t="s">
        <v>65</v>
      </c>
      <c r="G76" s="191" t="str">
        <f>IFERROR(VLOOKUP(F76,[2]Реестр!A:K,2,0),"")</f>
        <v>100</v>
      </c>
      <c r="H76" s="192">
        <v>40</v>
      </c>
      <c r="I76" s="193">
        <v>3.6</v>
      </c>
      <c r="J76" s="180"/>
    </row>
    <row r="77" spans="1:12" s="160" customFormat="1" ht="18.75" x14ac:dyDescent="0.3">
      <c r="A77" s="189"/>
      <c r="B77" s="189"/>
      <c r="C77" s="189"/>
      <c r="D77" s="189"/>
      <c r="E77" s="190"/>
      <c r="F77" s="194"/>
      <c r="G77" s="191"/>
      <c r="H77" s="192"/>
      <c r="I77" s="193"/>
      <c r="J77" s="180"/>
    </row>
    <row r="78" spans="1:12" s="160" customFormat="1" ht="18.75" x14ac:dyDescent="0.3">
      <c r="A78" s="498" t="s">
        <v>16</v>
      </c>
      <c r="B78" s="499"/>
      <c r="C78" s="499"/>
      <c r="D78" s="499"/>
      <c r="E78" s="499"/>
      <c r="F78" s="500"/>
      <c r="G78" s="164"/>
      <c r="H78" s="149"/>
      <c r="I78" s="150">
        <f>SUM(I72:I77)</f>
        <v>128.55999999999997</v>
      </c>
      <c r="J78" s="180">
        <v>98.52</v>
      </c>
      <c r="L78" s="163">
        <f>J78-I78</f>
        <v>-30.039999999999978</v>
      </c>
    </row>
    <row r="79" spans="1:12" ht="18.75" hidden="1" x14ac:dyDescent="0.25">
      <c r="A79" s="508" t="s">
        <v>35</v>
      </c>
      <c r="B79" s="509"/>
      <c r="C79" s="509"/>
      <c r="D79" s="509"/>
      <c r="E79" s="509"/>
      <c r="F79" s="509"/>
      <c r="G79" s="509"/>
      <c r="H79" s="509"/>
      <c r="I79" s="510"/>
    </row>
    <row r="80" spans="1:12" ht="18.75" hidden="1" x14ac:dyDescent="0.3">
      <c r="A80" s="306">
        <v>7.7</v>
      </c>
      <c r="B80" s="306">
        <v>7.42</v>
      </c>
      <c r="C80" s="306">
        <v>32.090000000000003</v>
      </c>
      <c r="D80" s="306">
        <v>225.88</v>
      </c>
      <c r="E80" s="307" t="s">
        <v>408</v>
      </c>
      <c r="F80" s="290" t="s">
        <v>605</v>
      </c>
      <c r="G80" s="287" t="str">
        <f>IFERROR(VLOOKUP(F80,[2]Реестр!A:K,2,0),"")</f>
        <v/>
      </c>
      <c r="H80" s="291">
        <v>100</v>
      </c>
      <c r="I80" s="288">
        <v>42</v>
      </c>
      <c r="K80" s="293"/>
    </row>
    <row r="81" spans="1:12" ht="18.75" hidden="1" x14ac:dyDescent="0.3">
      <c r="A81" s="505" t="s">
        <v>16</v>
      </c>
      <c r="B81" s="506"/>
      <c r="C81" s="506"/>
      <c r="D81" s="506"/>
      <c r="E81" s="506"/>
      <c r="F81" s="507"/>
      <c r="G81" s="294"/>
      <c r="H81" s="291"/>
      <c r="I81" s="288">
        <f>I80</f>
        <v>42</v>
      </c>
      <c r="J81" s="305">
        <v>29</v>
      </c>
    </row>
    <row r="82" spans="1:12" s="160" customFormat="1" ht="18.75" x14ac:dyDescent="0.3">
      <c r="A82" s="501" t="s">
        <v>36</v>
      </c>
      <c r="B82" s="502"/>
      <c r="C82" s="502"/>
      <c r="D82" s="502"/>
      <c r="E82" s="502"/>
      <c r="F82" s="502"/>
      <c r="G82" s="502"/>
      <c r="H82" s="502"/>
      <c r="I82" s="503"/>
      <c r="J82" s="180"/>
    </row>
    <row r="83" spans="1:12" s="160" customFormat="1" ht="18.75" x14ac:dyDescent="0.3">
      <c r="A83" s="189">
        <v>8.9166666666666661</v>
      </c>
      <c r="B83" s="189">
        <v>7.75</v>
      </c>
      <c r="C83" s="189">
        <v>19.5</v>
      </c>
      <c r="D83" s="189">
        <v>185</v>
      </c>
      <c r="E83" s="190" t="s">
        <v>213</v>
      </c>
      <c r="F83" s="273" t="s">
        <v>212</v>
      </c>
      <c r="G83" s="153" t="str">
        <f>IFERROR(VLOOKUP(F83,[2]Реестр!A:K,2,0),"")</f>
        <v>300</v>
      </c>
      <c r="H83" s="149">
        <v>250</v>
      </c>
      <c r="I83" s="150">
        <v>42</v>
      </c>
      <c r="J83" s="180"/>
    </row>
    <row r="84" spans="1:12" s="160" customFormat="1" ht="18.75" x14ac:dyDescent="0.3">
      <c r="A84" s="498" t="s">
        <v>16</v>
      </c>
      <c r="B84" s="499"/>
      <c r="C84" s="499"/>
      <c r="D84" s="499"/>
      <c r="E84" s="499"/>
      <c r="F84" s="500"/>
      <c r="G84" s="164"/>
      <c r="H84" s="149"/>
      <c r="I84" s="150">
        <f>SUM(I83:I83)</f>
        <v>42</v>
      </c>
      <c r="J84" s="180">
        <v>27</v>
      </c>
    </row>
    <row r="85" spans="1:12" s="160" customFormat="1" ht="18.75" hidden="1" x14ac:dyDescent="0.3">
      <c r="A85" s="501" t="s">
        <v>503</v>
      </c>
      <c r="B85" s="502"/>
      <c r="C85" s="502"/>
      <c r="D85" s="502"/>
      <c r="E85" s="502"/>
      <c r="F85" s="502"/>
      <c r="G85" s="502"/>
      <c r="H85" s="502"/>
      <c r="I85" s="503"/>
      <c r="J85" s="180"/>
    </row>
    <row r="86" spans="1:12" s="158" customFormat="1" ht="27" hidden="1" customHeight="1" x14ac:dyDescent="0.25">
      <c r="A86" s="273">
        <v>14.01</v>
      </c>
      <c r="B86" s="189">
        <v>6.2079999999999993</v>
      </c>
      <c r="C86" s="189">
        <v>12.072000000000001</v>
      </c>
      <c r="D86" s="189">
        <v>117.68388800000001</v>
      </c>
      <c r="E86" s="190" t="s">
        <v>628</v>
      </c>
      <c r="F86" s="273" t="s">
        <v>629</v>
      </c>
      <c r="G86" s="191" t="str">
        <f>IFERROR(VLOOKUP(F86,[2]Реестр!A:K,2,0),"")</f>
        <v/>
      </c>
      <c r="H86" s="190">
        <v>100</v>
      </c>
      <c r="I86" s="274">
        <v>27.91</v>
      </c>
      <c r="J86" s="181"/>
    </row>
    <row r="87" spans="1:12" s="160" customFormat="1" ht="18.75" hidden="1" x14ac:dyDescent="0.3">
      <c r="A87" s="189">
        <v>8.9166666666666661</v>
      </c>
      <c r="B87" s="189">
        <v>7.75</v>
      </c>
      <c r="C87" s="189">
        <v>19.5</v>
      </c>
      <c r="D87" s="189">
        <v>185</v>
      </c>
      <c r="E87" s="190" t="s">
        <v>213</v>
      </c>
      <c r="F87" s="273" t="s">
        <v>212</v>
      </c>
      <c r="G87" s="191" t="str">
        <f>IFERROR(VLOOKUP(F87,[2]Реестр!A:K,2,0),"")</f>
        <v>300</v>
      </c>
      <c r="H87" s="192">
        <v>250</v>
      </c>
      <c r="I87" s="193">
        <v>42</v>
      </c>
      <c r="J87" s="180"/>
    </row>
    <row r="88" spans="1:12" s="160" customFormat="1" ht="18.75" hidden="1" x14ac:dyDescent="0.3">
      <c r="A88" s="189">
        <v>21.712499999999999</v>
      </c>
      <c r="B88" s="189">
        <v>11.317500000000001</v>
      </c>
      <c r="C88" s="189">
        <v>38.486249999999998</v>
      </c>
      <c r="D88" s="189">
        <v>342.65249999999997</v>
      </c>
      <c r="E88" s="190" t="s">
        <v>630</v>
      </c>
      <c r="F88" s="273" t="s">
        <v>631</v>
      </c>
      <c r="G88" s="191" t="str">
        <f>IFERROR(VLOOKUP(F88,[2]Реестр!A:K,2,0),"")</f>
        <v/>
      </c>
      <c r="H88" s="192">
        <v>250</v>
      </c>
      <c r="I88" s="192">
        <v>109.55</v>
      </c>
      <c r="J88" s="180"/>
    </row>
    <row r="89" spans="1:12" s="160" customFormat="1" ht="18.75" hidden="1" x14ac:dyDescent="0.3">
      <c r="A89" s="189">
        <v>0.2</v>
      </c>
      <c r="B89" s="189">
        <v>0</v>
      </c>
      <c r="C89" s="189">
        <v>13.7</v>
      </c>
      <c r="D89" s="189">
        <v>53</v>
      </c>
      <c r="E89" s="190" t="s">
        <v>353</v>
      </c>
      <c r="F89" s="273" t="s">
        <v>499</v>
      </c>
      <c r="G89" s="191" t="str">
        <f>IFERROR(VLOOKUP(F89,[2]Реестр!A:K,2,0),"")</f>
        <v>200</v>
      </c>
      <c r="H89" s="192">
        <v>200</v>
      </c>
      <c r="I89" s="193">
        <v>4.38</v>
      </c>
      <c r="J89" s="180"/>
    </row>
    <row r="90" spans="1:12" s="160" customFormat="1" ht="18.75" hidden="1" x14ac:dyDescent="0.3">
      <c r="A90" s="189">
        <v>3.3</v>
      </c>
      <c r="B90" s="189">
        <v>0.3</v>
      </c>
      <c r="C90" s="189">
        <v>23.4</v>
      </c>
      <c r="D90" s="189">
        <v>112</v>
      </c>
      <c r="E90" s="190" t="s">
        <v>471</v>
      </c>
      <c r="F90" s="194" t="s">
        <v>66</v>
      </c>
      <c r="G90" s="191" t="str">
        <f>IFERROR(VLOOKUP(F90,[2]Реестр!A:K,2,0),"")</f>
        <v>100</v>
      </c>
      <c r="H90" s="192">
        <v>50</v>
      </c>
      <c r="I90" s="193">
        <v>4.5</v>
      </c>
      <c r="J90" s="180"/>
    </row>
    <row r="91" spans="1:12" s="160" customFormat="1" ht="18.75" hidden="1" x14ac:dyDescent="0.3">
      <c r="A91" s="189">
        <v>3.3</v>
      </c>
      <c r="B91" s="189">
        <v>0.6</v>
      </c>
      <c r="C91" s="189">
        <v>16.7</v>
      </c>
      <c r="D91" s="189">
        <v>96.5</v>
      </c>
      <c r="E91" s="190" t="s">
        <v>471</v>
      </c>
      <c r="F91" s="194" t="s">
        <v>65</v>
      </c>
      <c r="G91" s="191" t="str">
        <f>IFERROR(VLOOKUP(F91,[2]Реестр!A:K,2,0),"")</f>
        <v>100</v>
      </c>
      <c r="H91" s="192">
        <v>50</v>
      </c>
      <c r="I91" s="193">
        <v>4.5</v>
      </c>
      <c r="J91" s="180"/>
    </row>
    <row r="92" spans="1:12" s="160" customFormat="1" ht="18.75" hidden="1" x14ac:dyDescent="0.3">
      <c r="A92" s="189"/>
      <c r="B92" s="189"/>
      <c r="C92" s="189"/>
      <c r="D92" s="189"/>
      <c r="E92" s="195"/>
      <c r="F92" s="194"/>
      <c r="G92" s="191"/>
      <c r="H92" s="192"/>
      <c r="I92" s="193"/>
      <c r="J92" s="180"/>
      <c r="K92" s="163"/>
    </row>
    <row r="93" spans="1:12" s="160" customFormat="1" ht="18.75" hidden="1" x14ac:dyDescent="0.3">
      <c r="A93" s="494" t="s">
        <v>16</v>
      </c>
      <c r="B93" s="494"/>
      <c r="C93" s="494"/>
      <c r="D93" s="494"/>
      <c r="E93" s="494"/>
      <c r="F93" s="494"/>
      <c r="G93" s="164"/>
      <c r="H93" s="149"/>
      <c r="I93" s="150">
        <f>SUM(I86:I92)</f>
        <v>192.83999999999997</v>
      </c>
      <c r="J93" s="180">
        <v>147.79</v>
      </c>
      <c r="L93" s="163">
        <f>J93-I93</f>
        <v>-45.049999999999983</v>
      </c>
    </row>
    <row r="94" spans="1:12" s="160" customFormat="1" ht="18.75" hidden="1" x14ac:dyDescent="0.3">
      <c r="A94" s="463" t="s">
        <v>544</v>
      </c>
      <c r="B94" s="463"/>
      <c r="C94" s="463"/>
      <c r="D94" s="463"/>
      <c r="E94" s="463"/>
      <c r="F94" s="463"/>
      <c r="G94" s="463"/>
      <c r="H94" s="463"/>
      <c r="I94" s="463"/>
      <c r="J94" s="180"/>
      <c r="K94" s="163"/>
    </row>
    <row r="95" spans="1:12" s="160" customFormat="1" ht="18.75" hidden="1" customHeight="1" x14ac:dyDescent="0.25">
      <c r="A95" s="151">
        <f>IFERROR(VLOOKUP(F95,[1]Реестр!A:K,3,0)*H95/G95,"")</f>
        <v>5.08</v>
      </c>
      <c r="B95" s="151">
        <f>IFERROR(VLOOKUP(F95,[1]Реестр!A:K,4,0)*H95/G95,"")</f>
        <v>11.55</v>
      </c>
      <c r="C95" s="151">
        <f>IFERROR(VLOOKUP(F95,[1]Реестр!A:K,5,0)*H95/G95,"")</f>
        <v>9.9700000000000006</v>
      </c>
      <c r="D95" s="151">
        <f>IFERROR(VLOOKUP(F95,[1]Реестр!A:K,6,0)*H95/G95,"")</f>
        <v>164.15</v>
      </c>
      <c r="E95" s="152" t="str">
        <f>IFERROR(VLOOKUP(F95,[1]Реестр!A:K,11,0),"")</f>
        <v>1*51</v>
      </c>
      <c r="F95" s="277" t="s">
        <v>91</v>
      </c>
      <c r="G95" s="153" t="str">
        <f>IFERROR(VLOOKUP(F95,[1]Реестр!A:K,2,0),"")</f>
        <v>45</v>
      </c>
      <c r="H95" s="154">
        <v>45</v>
      </c>
      <c r="I95" s="495">
        <v>108.64</v>
      </c>
      <c r="J95" s="180"/>
      <c r="K95" s="163"/>
    </row>
    <row r="96" spans="1:12" s="160" customFormat="1" ht="33.75" hidden="1" customHeight="1" x14ac:dyDescent="0.25">
      <c r="A96" s="151">
        <f>IFERROR(VLOOKUP(F96,[1]Реестр!A:K,3,0)*H96/G96,"")</f>
        <v>6.3749999999999991</v>
      </c>
      <c r="B96" s="151">
        <f>IFERROR(VLOOKUP(F96,[1]Реестр!A:K,4,0)*H96/G96,"")</f>
        <v>5.7499999999999991</v>
      </c>
      <c r="C96" s="151">
        <f>IFERROR(VLOOKUP(F96,[1]Реестр!A:K,5,0)*H96/G96,"")</f>
        <v>0.375</v>
      </c>
      <c r="D96" s="151">
        <f>IFERROR(VLOOKUP(F96,[1]Реестр!A:K,6,0)*H96/G96,"")</f>
        <v>78.75</v>
      </c>
      <c r="E96" s="152" t="str">
        <f>IFERROR(VLOOKUP(F96,[1]Реестр!A:K,11,0),"")</f>
        <v>4*57</v>
      </c>
      <c r="F96" s="277" t="s">
        <v>162</v>
      </c>
      <c r="G96" s="153" t="str">
        <f>IFERROR(VLOOKUP(F96,[1]Реестр!A:K,2,0),"")</f>
        <v>40</v>
      </c>
      <c r="H96" s="154">
        <v>50</v>
      </c>
      <c r="I96" s="496"/>
      <c r="J96" s="180"/>
      <c r="K96" s="163"/>
    </row>
    <row r="97" spans="1:12" s="160" customFormat="1" ht="45" hidden="1" customHeight="1" x14ac:dyDescent="0.25">
      <c r="A97" s="170">
        <v>8.1999999999999993</v>
      </c>
      <c r="B97" s="170">
        <v>8.4</v>
      </c>
      <c r="C97" s="170">
        <v>36.200000000000003</v>
      </c>
      <c r="D97" s="170">
        <v>244</v>
      </c>
      <c r="E97" s="171" t="str">
        <f>"2/66 (МР 2.4.0162-19. 2.4.)"</f>
        <v>2/66 (МР 2.4.0162-19. 2.4.)</v>
      </c>
      <c r="F97" s="156" t="s">
        <v>546</v>
      </c>
      <c r="G97" s="153" t="str">
        <f>IFERROR(VLOOKUP(F97,[1]Реестр!A:K,2,0),"")</f>
        <v>250</v>
      </c>
      <c r="H97" s="154">
        <v>200</v>
      </c>
      <c r="I97" s="496"/>
      <c r="J97" s="180"/>
      <c r="K97" s="163"/>
    </row>
    <row r="98" spans="1:12" s="160" customFormat="1" ht="30" hidden="1" customHeight="1" x14ac:dyDescent="0.25">
      <c r="A98" s="172">
        <v>4.03</v>
      </c>
      <c r="B98" s="172">
        <v>3.19</v>
      </c>
      <c r="C98" s="172">
        <v>6.87</v>
      </c>
      <c r="D98" s="172">
        <v>68.87885</v>
      </c>
      <c r="E98" s="171" t="str">
        <f>"11/72 (2014 № 11.8)"</f>
        <v>11/72 (2014 № 11.8)</v>
      </c>
      <c r="F98" s="156" t="s">
        <v>564</v>
      </c>
      <c r="G98" s="153" t="str">
        <f>IFERROR(VLOOKUP(F98,[1]Реестр!A:K,2,0),"")</f>
        <v/>
      </c>
      <c r="H98" s="154" t="str">
        <f>"200"</f>
        <v>200</v>
      </c>
      <c r="I98" s="496"/>
      <c r="J98" s="180"/>
      <c r="K98" s="163"/>
    </row>
    <row r="99" spans="1:12" s="160" customFormat="1" ht="18.75" hidden="1" customHeight="1" x14ac:dyDescent="0.25">
      <c r="A99" s="151">
        <f>IFERROR(VLOOKUP(F99,[1]Реестр!A:K,3,0)*H99/G99,"")</f>
        <v>1.32</v>
      </c>
      <c r="B99" s="151">
        <f>IFERROR(VLOOKUP(F99,[1]Реестр!A:K,4,0)*H99/G99,"")</f>
        <v>0.24</v>
      </c>
      <c r="C99" s="151">
        <f>IFERROR(VLOOKUP(F99,[1]Реестр!A:K,5,0)*H99/G99,"")</f>
        <v>6.68</v>
      </c>
      <c r="D99" s="151">
        <f>IFERROR(VLOOKUP(F99,[1]Реестр!A:K,6,0)*H99/G99,"")</f>
        <v>38.6</v>
      </c>
      <c r="E99" s="152" t="str">
        <f>IFERROR(VLOOKUP(F99,[1]Реестр!A:K,11,0),"")</f>
        <v>-</v>
      </c>
      <c r="F99" s="162" t="s">
        <v>65</v>
      </c>
      <c r="G99" s="153" t="str">
        <f>IFERROR(VLOOKUP(F99,[1]Реестр!A:K,2,0),"")</f>
        <v>100</v>
      </c>
      <c r="H99" s="155" t="str">
        <f>"20"</f>
        <v>20</v>
      </c>
      <c r="I99" s="504"/>
      <c r="J99" s="180"/>
      <c r="K99" s="163"/>
    </row>
    <row r="100" spans="1:12" s="160" customFormat="1" ht="18.75" hidden="1" x14ac:dyDescent="0.3">
      <c r="A100" s="494" t="s">
        <v>16</v>
      </c>
      <c r="B100" s="494"/>
      <c r="C100" s="494"/>
      <c r="D100" s="494"/>
      <c r="E100" s="494"/>
      <c r="F100" s="494"/>
      <c r="G100" s="164"/>
      <c r="H100" s="149"/>
      <c r="I100" s="150">
        <f>SUM(I95:I99)</f>
        <v>108.64</v>
      </c>
      <c r="J100" s="180"/>
      <c r="K100" s="163"/>
    </row>
    <row r="101" spans="1:12" s="160" customFormat="1" ht="18.75" hidden="1" x14ac:dyDescent="0.3">
      <c r="A101" s="463" t="s">
        <v>545</v>
      </c>
      <c r="B101" s="463"/>
      <c r="C101" s="463"/>
      <c r="D101" s="463"/>
      <c r="E101" s="463"/>
      <c r="F101" s="463"/>
      <c r="G101" s="463"/>
      <c r="H101" s="463"/>
      <c r="I101" s="463"/>
      <c r="J101" s="180">
        <v>85.2</v>
      </c>
      <c r="K101" s="163"/>
      <c r="L101" s="163">
        <f>J101-I101</f>
        <v>85.2</v>
      </c>
    </row>
    <row r="102" spans="1:12" s="160" customFormat="1" ht="18.75" hidden="1" customHeight="1" x14ac:dyDescent="0.25">
      <c r="A102" s="151">
        <f>IFERROR(VLOOKUP(F102,[1]Реестр!A:K,3,0)*H102/G102,"")</f>
        <v>6.3749999999999991</v>
      </c>
      <c r="B102" s="151">
        <f>IFERROR(VLOOKUP(F102,[1]Реестр!A:K,4,0)*H102/G102,"")</f>
        <v>5.7499999999999991</v>
      </c>
      <c r="C102" s="151">
        <f>IFERROR(VLOOKUP(F102,[1]Реестр!A:K,5,0)*H102/G102,"")</f>
        <v>0.375</v>
      </c>
      <c r="D102" s="151">
        <f>IFERROR(VLOOKUP(F102,[1]Реестр!A:K,6,0)*H102/G102,"")</f>
        <v>78.75</v>
      </c>
      <c r="E102" s="152" t="str">
        <f>IFERROR(VLOOKUP(F102,[1]Реестр!A:K,11,0),"")</f>
        <v>4*57</v>
      </c>
      <c r="F102" s="277" t="s">
        <v>162</v>
      </c>
      <c r="G102" s="153" t="str">
        <f>IFERROR(VLOOKUP(F102,[1]Реестр!A:K,2,0),"")</f>
        <v>40</v>
      </c>
      <c r="H102" s="154">
        <v>50</v>
      </c>
      <c r="I102" s="495">
        <v>108.64</v>
      </c>
      <c r="J102" s="180"/>
      <c r="K102" s="163"/>
    </row>
    <row r="103" spans="1:12" s="160" customFormat="1" ht="18.75" hidden="1" customHeight="1" x14ac:dyDescent="0.25">
      <c r="A103" s="151">
        <v>7.23</v>
      </c>
      <c r="B103" s="172">
        <v>12.83</v>
      </c>
      <c r="C103" s="172">
        <v>34.92</v>
      </c>
      <c r="D103" s="172">
        <v>275.69060599999995</v>
      </c>
      <c r="E103" s="171" t="str">
        <f>"2/73 (МР 2.4.0162-19 № 54-29к-2020)"</f>
        <v>2/73 (МР 2.4.0162-19 № 54-29к-2020)</v>
      </c>
      <c r="F103" s="156" t="s">
        <v>606</v>
      </c>
      <c r="G103" s="153" t="str">
        <f>IFERROR(VLOOKUP(F103,[1]Реестр!A:K,2,0),"")</f>
        <v/>
      </c>
      <c r="H103" s="154">
        <v>200</v>
      </c>
      <c r="I103" s="496"/>
      <c r="J103" s="180"/>
      <c r="K103" s="163"/>
    </row>
    <row r="104" spans="1:12" s="160" customFormat="1" ht="18.75" hidden="1" customHeight="1" x14ac:dyDescent="0.25">
      <c r="A104" s="151">
        <f>IFERROR(VLOOKUP(F104,[1]Реестр!A:K,3,0)*H104/G104,"")</f>
        <v>0.17499999999999999</v>
      </c>
      <c r="B104" s="151">
        <f>IFERROR(VLOOKUP(F104,[1]Реестр!A:K,4,0)*H104/G104,"")</f>
        <v>0.105</v>
      </c>
      <c r="C104" s="151">
        <f>IFERROR(VLOOKUP(F104,[1]Реестр!A:K,5,0)*H104/G104,"")</f>
        <v>10.01</v>
      </c>
      <c r="D104" s="151">
        <f>IFERROR(VLOOKUP(F104,[1]Реестр!A:K,6,0)*H104/G104,"")</f>
        <v>40.6</v>
      </c>
      <c r="E104" s="152" t="str">
        <f>IFERROR(VLOOKUP(F104,[1]Реестр!A:K,11,0),"")</f>
        <v>12*2</v>
      </c>
      <c r="F104" s="277" t="s">
        <v>371</v>
      </c>
      <c r="G104" s="153" t="str">
        <f>IFERROR(VLOOKUP(F104,[1]Реестр!A:K,2,0),"")</f>
        <v>100</v>
      </c>
      <c r="H104" s="154">
        <v>35</v>
      </c>
      <c r="I104" s="496"/>
      <c r="J104" s="180"/>
      <c r="K104" s="163"/>
    </row>
    <row r="105" spans="1:12" s="160" customFormat="1" ht="18.75" hidden="1" customHeight="1" x14ac:dyDescent="0.25">
      <c r="A105" s="172">
        <v>0.18</v>
      </c>
      <c r="B105" s="172">
        <v>0.04</v>
      </c>
      <c r="C105" s="172">
        <v>13.75</v>
      </c>
      <c r="D105" s="172">
        <v>53.136642799999997</v>
      </c>
      <c r="E105" s="152" t="s">
        <v>353</v>
      </c>
      <c r="F105" s="156" t="s">
        <v>563</v>
      </c>
      <c r="G105" s="153" t="str">
        <f>IFERROR(VLOOKUP(F105,[1]Реестр!A:K,2,0),"")</f>
        <v/>
      </c>
      <c r="H105" s="154" t="str">
        <f>"200"</f>
        <v>200</v>
      </c>
      <c r="I105" s="496"/>
      <c r="J105" s="180"/>
      <c r="K105" s="163"/>
    </row>
    <row r="106" spans="1:12" s="160" customFormat="1" ht="18.75" hidden="1" customHeight="1" x14ac:dyDescent="0.25">
      <c r="A106" s="151">
        <f>IFERROR(VLOOKUP(F106,[1]Реестр!A:K,3,0)*H106/G106,"")</f>
        <v>1.32</v>
      </c>
      <c r="B106" s="151">
        <f>IFERROR(VLOOKUP(F106,[1]Реестр!A:K,4,0)*H106/G106,"")</f>
        <v>0.24</v>
      </c>
      <c r="C106" s="151">
        <f>IFERROR(VLOOKUP(F106,[1]Реестр!A:K,5,0)*H106/G106,"")</f>
        <v>6.68</v>
      </c>
      <c r="D106" s="151">
        <f>IFERROR(VLOOKUP(F106,[1]Реестр!A:K,6,0)*H106/G106,"")</f>
        <v>38.6</v>
      </c>
      <c r="E106" s="152" t="str">
        <f>IFERROR(VLOOKUP(F106,[1]Реестр!A:K,11,0),"")</f>
        <v>-</v>
      </c>
      <c r="F106" s="162" t="s">
        <v>65</v>
      </c>
      <c r="G106" s="153" t="str">
        <f>IFERROR(VLOOKUP(F106,[1]Реестр!A:K,2,0),"")</f>
        <v>100</v>
      </c>
      <c r="H106" s="155" t="str">
        <f>"20"</f>
        <v>20</v>
      </c>
      <c r="I106" s="496"/>
      <c r="J106" s="180"/>
      <c r="K106" s="163"/>
    </row>
    <row r="107" spans="1:12" s="160" customFormat="1" ht="18.75" hidden="1" customHeight="1" x14ac:dyDescent="0.3">
      <c r="A107" s="151">
        <f>IFERROR(VLOOKUP(F107,[1]Реестр!A:K,3,0)*H107/G107,"")</f>
        <v>1.32</v>
      </c>
      <c r="B107" s="151">
        <f>IFERROR(VLOOKUP(F107,[1]Реестр!A:K,4,0)*H107/G107,"")</f>
        <v>0.12</v>
      </c>
      <c r="C107" s="151">
        <f>IFERROR(VLOOKUP(F107,[1]Реестр!A:K,5,0)*H107/G107,"")</f>
        <v>9.36</v>
      </c>
      <c r="D107" s="151">
        <f>IFERROR(VLOOKUP(F107,[1]Реестр!A:K,6,0)*H107/G107,"")</f>
        <v>44.8</v>
      </c>
      <c r="E107" s="152" t="str">
        <f>IFERROR(VLOOKUP(F107,[1]Реестр!A:K,11,0),"")</f>
        <v>-</v>
      </c>
      <c r="F107" s="162" t="s">
        <v>66</v>
      </c>
      <c r="G107" s="153" t="str">
        <f>IFERROR(VLOOKUP(F107,[1]Реестр!A:K,2,0),"")</f>
        <v>100</v>
      </c>
      <c r="H107" s="149">
        <v>20</v>
      </c>
      <c r="I107" s="504"/>
      <c r="J107" s="180"/>
      <c r="K107" s="163"/>
    </row>
    <row r="108" spans="1:12" s="160" customFormat="1" ht="18.75" hidden="1" x14ac:dyDescent="0.3">
      <c r="A108" s="494" t="s">
        <v>16</v>
      </c>
      <c r="B108" s="494"/>
      <c r="C108" s="494"/>
      <c r="D108" s="494"/>
      <c r="E108" s="494"/>
      <c r="F108" s="494"/>
      <c r="G108" s="164"/>
      <c r="H108" s="149"/>
      <c r="I108" s="150">
        <f>SUM(I102)</f>
        <v>108.64</v>
      </c>
      <c r="J108" s="180"/>
      <c r="K108" s="163"/>
    </row>
    <row r="109" spans="1:12" s="160" customFormat="1" ht="18.75" hidden="1" x14ac:dyDescent="0.3">
      <c r="A109" s="463" t="s">
        <v>566</v>
      </c>
      <c r="B109" s="463"/>
      <c r="C109" s="463"/>
      <c r="D109" s="463"/>
      <c r="E109" s="463"/>
      <c r="F109" s="463"/>
      <c r="G109" s="463"/>
      <c r="H109" s="463"/>
      <c r="I109" s="463"/>
      <c r="J109" s="180"/>
      <c r="K109" s="163"/>
    </row>
    <row r="110" spans="1:12" s="160" customFormat="1" ht="18.75" hidden="1" customHeight="1" x14ac:dyDescent="0.25">
      <c r="A110" s="273">
        <v>14.01</v>
      </c>
      <c r="B110" s="189">
        <v>6.2079999999999993</v>
      </c>
      <c r="C110" s="189">
        <v>12.072000000000001</v>
      </c>
      <c r="D110" s="189">
        <v>117.68388800000001</v>
      </c>
      <c r="E110" s="190" t="s">
        <v>628</v>
      </c>
      <c r="F110" s="273" t="s">
        <v>629</v>
      </c>
      <c r="G110" s="191" t="str">
        <f>IFERROR(VLOOKUP(F110,[2]Реестр!A:K,2,0),"")</f>
        <v/>
      </c>
      <c r="H110" s="327" t="s">
        <v>81</v>
      </c>
      <c r="I110" s="495">
        <v>162.94999999999999</v>
      </c>
      <c r="J110" s="180"/>
      <c r="K110" s="163"/>
    </row>
    <row r="111" spans="1:12" s="160" customFormat="1" ht="30" hidden="1" customHeight="1" x14ac:dyDescent="0.25">
      <c r="A111" s="327">
        <v>12.44</v>
      </c>
      <c r="B111" s="327">
        <v>7.77</v>
      </c>
      <c r="C111" s="327">
        <v>25.16</v>
      </c>
      <c r="D111" s="327">
        <v>208</v>
      </c>
      <c r="E111" s="328" t="str">
        <f>"6/57 (2004 № 139)"</f>
        <v>6/57 (2004 № 139)</v>
      </c>
      <c r="F111" s="328" t="s">
        <v>603</v>
      </c>
      <c r="G111" s="191" t="str">
        <f>IFERROR(VLOOKUP(F111,[2]Реестр!A:K,2,0),"")</f>
        <v/>
      </c>
      <c r="H111" s="329" t="str">
        <f>"250"</f>
        <v>250</v>
      </c>
      <c r="I111" s="496"/>
      <c r="J111" s="180"/>
      <c r="K111" s="163"/>
    </row>
    <row r="112" spans="1:12" s="160" customFormat="1" ht="18.75" hidden="1" customHeight="1" x14ac:dyDescent="0.25">
      <c r="A112" s="327">
        <v>15.55</v>
      </c>
      <c r="B112" s="327">
        <v>18.7</v>
      </c>
      <c r="C112" s="327">
        <v>44.29</v>
      </c>
      <c r="D112" s="327">
        <v>408.6</v>
      </c>
      <c r="E112" s="328" t="str">
        <f>"9/17"</f>
        <v>9/17</v>
      </c>
      <c r="F112" s="328" t="s">
        <v>631</v>
      </c>
      <c r="G112" s="191"/>
      <c r="H112" s="330">
        <v>200</v>
      </c>
      <c r="I112" s="496"/>
      <c r="J112" s="180"/>
      <c r="K112" s="163"/>
    </row>
    <row r="113" spans="1:11" s="160" customFormat="1" ht="18.75" hidden="1" customHeight="1" x14ac:dyDescent="0.25">
      <c r="A113" s="327">
        <v>0.18</v>
      </c>
      <c r="B113" s="327">
        <v>0.04</v>
      </c>
      <c r="C113" s="327">
        <v>13.75</v>
      </c>
      <c r="D113" s="327">
        <v>53.136642799999997</v>
      </c>
      <c r="E113" s="328" t="str">
        <f>"11/74"</f>
        <v>11/74</v>
      </c>
      <c r="F113" s="328" t="s">
        <v>632</v>
      </c>
      <c r="G113" s="191"/>
      <c r="H113" s="327" t="s">
        <v>118</v>
      </c>
      <c r="I113" s="496"/>
      <c r="J113" s="180"/>
      <c r="K113" s="163"/>
    </row>
    <row r="114" spans="1:11" s="160" customFormat="1" ht="18.75" hidden="1" customHeight="1" x14ac:dyDescent="0.25">
      <c r="A114" s="331">
        <v>2.64</v>
      </c>
      <c r="B114" s="331">
        <v>0.48</v>
      </c>
      <c r="C114" s="331">
        <v>16.68</v>
      </c>
      <c r="D114" s="331">
        <v>77.352000000000004</v>
      </c>
      <c r="E114" s="328" t="str">
        <f>"-"</f>
        <v>-</v>
      </c>
      <c r="F114" s="194" t="s">
        <v>66</v>
      </c>
      <c r="G114" s="191"/>
      <c r="H114" s="331" t="str">
        <f>"40"</f>
        <v>40</v>
      </c>
      <c r="I114" s="496"/>
      <c r="J114" s="180"/>
      <c r="K114" s="163"/>
    </row>
    <row r="115" spans="1:11" s="160" customFormat="1" ht="18.75" hidden="1" customHeight="1" x14ac:dyDescent="0.25">
      <c r="A115" s="331">
        <v>2.64</v>
      </c>
      <c r="B115" s="331">
        <v>0.48</v>
      </c>
      <c r="C115" s="331">
        <v>16.68</v>
      </c>
      <c r="D115" s="331">
        <v>77.352000000000004</v>
      </c>
      <c r="E115" s="332" t="str">
        <f>"-"</f>
        <v>-</v>
      </c>
      <c r="F115" s="194" t="s">
        <v>65</v>
      </c>
      <c r="G115" s="191" t="str">
        <f>IFERROR(VLOOKUP(F115,[2]Реестр!A:K,2,0),"")</f>
        <v>100</v>
      </c>
      <c r="H115" s="331" t="str">
        <f>"40"</f>
        <v>40</v>
      </c>
      <c r="I115" s="496"/>
      <c r="J115" s="180"/>
      <c r="K115" s="163"/>
    </row>
    <row r="116" spans="1:11" s="160" customFormat="1" ht="18.75" hidden="1" customHeight="1" x14ac:dyDescent="0.25">
      <c r="A116" s="170"/>
      <c r="B116" s="170"/>
      <c r="C116" s="170"/>
      <c r="D116" s="170"/>
      <c r="E116" s="173"/>
      <c r="F116" s="162"/>
      <c r="G116" s="153"/>
      <c r="H116" s="187"/>
      <c r="I116" s="496"/>
      <c r="J116" s="180"/>
      <c r="K116" s="163"/>
    </row>
    <row r="117" spans="1:11" s="160" customFormat="1" ht="18.75" hidden="1" x14ac:dyDescent="0.3">
      <c r="A117" s="494" t="s">
        <v>16</v>
      </c>
      <c r="B117" s="494"/>
      <c r="C117" s="494"/>
      <c r="D117" s="494"/>
      <c r="E117" s="494"/>
      <c r="F117" s="494"/>
      <c r="G117" s="164"/>
      <c r="H117" s="149"/>
      <c r="I117" s="150">
        <f>SUM(I110:I116)</f>
        <v>162.94999999999999</v>
      </c>
      <c r="J117" s="180"/>
      <c r="K117" s="163"/>
    </row>
    <row r="118" spans="1:11" s="160" customFormat="1" ht="18.75" hidden="1" x14ac:dyDescent="0.3">
      <c r="A118" s="463" t="s">
        <v>550</v>
      </c>
      <c r="B118" s="463"/>
      <c r="C118" s="463"/>
      <c r="D118" s="463"/>
      <c r="E118" s="463"/>
      <c r="F118" s="463"/>
      <c r="G118" s="463"/>
      <c r="H118" s="463"/>
      <c r="I118" s="463"/>
      <c r="J118" s="180"/>
      <c r="K118" s="163"/>
    </row>
    <row r="119" spans="1:11" s="160" customFormat="1" ht="31.5" hidden="1" customHeight="1" x14ac:dyDescent="0.25">
      <c r="A119" s="273">
        <v>14.01</v>
      </c>
      <c r="B119" s="189">
        <v>6.2079999999999993</v>
      </c>
      <c r="C119" s="189">
        <v>12.072000000000001</v>
      </c>
      <c r="D119" s="189">
        <v>117.68388800000001</v>
      </c>
      <c r="E119" s="190" t="s">
        <v>628</v>
      </c>
      <c r="F119" s="273" t="s">
        <v>629</v>
      </c>
      <c r="G119" s="191" t="str">
        <f>IFERROR(VLOOKUP(F119,[2]Реестр!A:K,2,0),"")</f>
        <v/>
      </c>
      <c r="H119" s="327" t="s">
        <v>81</v>
      </c>
      <c r="I119" s="495">
        <v>162.94999999999999</v>
      </c>
      <c r="J119" s="180"/>
      <c r="K119" s="163"/>
    </row>
    <row r="120" spans="1:11" s="160" customFormat="1" ht="18.75" hidden="1" customHeight="1" x14ac:dyDescent="0.25">
      <c r="A120" s="327">
        <v>12.44</v>
      </c>
      <c r="B120" s="327">
        <v>7.77</v>
      </c>
      <c r="C120" s="327">
        <v>25.16</v>
      </c>
      <c r="D120" s="327">
        <v>208</v>
      </c>
      <c r="E120" s="328" t="str">
        <f>"6/57 (2004 № 139)"</f>
        <v>6/57 (2004 № 139)</v>
      </c>
      <c r="F120" s="333" t="s">
        <v>603</v>
      </c>
      <c r="G120" s="191" t="str">
        <f>IFERROR(VLOOKUP(F120,[2]Реестр!A:K,2,0),"")</f>
        <v/>
      </c>
      <c r="H120" s="329" t="str">
        <f>"250"</f>
        <v>250</v>
      </c>
      <c r="I120" s="496"/>
      <c r="J120" s="180"/>
      <c r="K120" s="163"/>
    </row>
    <row r="121" spans="1:11" s="160" customFormat="1" ht="18.75" hidden="1" customHeight="1" x14ac:dyDescent="0.25">
      <c r="A121" s="327">
        <v>15.55</v>
      </c>
      <c r="B121" s="327">
        <v>18.7</v>
      </c>
      <c r="C121" s="327">
        <v>44.29</v>
      </c>
      <c r="D121" s="327">
        <v>408.6</v>
      </c>
      <c r="E121" s="328" t="str">
        <f>"9/17"</f>
        <v>9/17</v>
      </c>
      <c r="F121" s="328" t="s">
        <v>631</v>
      </c>
      <c r="G121" s="191"/>
      <c r="H121" s="330">
        <v>200</v>
      </c>
      <c r="I121" s="496"/>
      <c r="J121" s="180"/>
      <c r="K121" s="163"/>
    </row>
    <row r="122" spans="1:11" s="160" customFormat="1" ht="18.75" hidden="1" customHeight="1" x14ac:dyDescent="0.25">
      <c r="A122" s="327">
        <v>0.18</v>
      </c>
      <c r="B122" s="327">
        <v>0.04</v>
      </c>
      <c r="C122" s="327">
        <v>13.75</v>
      </c>
      <c r="D122" s="327">
        <v>53.136642799999997</v>
      </c>
      <c r="E122" s="328" t="str">
        <f>"11/56"</f>
        <v>11/56</v>
      </c>
      <c r="F122" s="328" t="s">
        <v>499</v>
      </c>
      <c r="G122" s="191"/>
      <c r="H122" s="329" t="str">
        <f>"200"</f>
        <v>200</v>
      </c>
      <c r="I122" s="496"/>
      <c r="J122" s="180"/>
      <c r="K122" s="163"/>
    </row>
    <row r="123" spans="1:11" s="160" customFormat="1" ht="18.75" hidden="1" customHeight="1" x14ac:dyDescent="0.25">
      <c r="A123" s="331">
        <v>2.64</v>
      </c>
      <c r="B123" s="331">
        <v>0.48</v>
      </c>
      <c r="C123" s="331">
        <v>16.68</v>
      </c>
      <c r="D123" s="331">
        <v>77.352000000000004</v>
      </c>
      <c r="E123" s="328" t="str">
        <f>"-"</f>
        <v>-</v>
      </c>
      <c r="F123" s="194" t="s">
        <v>66</v>
      </c>
      <c r="G123" s="191"/>
      <c r="H123" s="331" t="str">
        <f>"40"</f>
        <v>40</v>
      </c>
      <c r="I123" s="496"/>
      <c r="J123" s="180"/>
      <c r="K123" s="163"/>
    </row>
    <row r="124" spans="1:11" s="160" customFormat="1" ht="18.75" hidden="1" customHeight="1" x14ac:dyDescent="0.25">
      <c r="A124" s="331">
        <v>2.64</v>
      </c>
      <c r="B124" s="331">
        <v>0.48</v>
      </c>
      <c r="C124" s="331">
        <v>16.68</v>
      </c>
      <c r="D124" s="331">
        <v>77.352000000000004</v>
      </c>
      <c r="E124" s="332" t="str">
        <f>"-"</f>
        <v>-</v>
      </c>
      <c r="F124" s="194" t="s">
        <v>65</v>
      </c>
      <c r="G124" s="191" t="str">
        <f>IFERROR(VLOOKUP(F124,[2]Реестр!A:K,2,0),"")</f>
        <v>100</v>
      </c>
      <c r="H124" s="331" t="str">
        <f>"40"</f>
        <v>40</v>
      </c>
      <c r="I124" s="496"/>
      <c r="J124" s="180"/>
      <c r="K124" s="163"/>
    </row>
    <row r="125" spans="1:11" s="160" customFormat="1" ht="18.75" hidden="1" customHeight="1" x14ac:dyDescent="0.25">
      <c r="A125" s="331"/>
      <c r="B125" s="331"/>
      <c r="C125" s="331"/>
      <c r="D125" s="331"/>
      <c r="E125" s="332"/>
      <c r="F125" s="194"/>
      <c r="G125" s="191"/>
      <c r="H125" s="331"/>
      <c r="I125" s="496"/>
      <c r="J125" s="180"/>
      <c r="K125" s="163"/>
    </row>
    <row r="126" spans="1:11" s="160" customFormat="1" ht="18.75" hidden="1" x14ac:dyDescent="0.3">
      <c r="A126" s="494" t="s">
        <v>16</v>
      </c>
      <c r="B126" s="494"/>
      <c r="C126" s="494"/>
      <c r="D126" s="494"/>
      <c r="E126" s="494"/>
      <c r="F126" s="494"/>
      <c r="G126" s="164"/>
      <c r="H126" s="149"/>
      <c r="I126" s="150">
        <f>SUM(I119)</f>
        <v>162.94999999999999</v>
      </c>
      <c r="J126" s="180"/>
      <c r="K126" s="163"/>
    </row>
    <row r="127" spans="1:11" s="160" customFormat="1" ht="18.75" hidden="1" x14ac:dyDescent="0.25">
      <c r="A127" s="497" t="s">
        <v>593</v>
      </c>
      <c r="B127" s="497"/>
      <c r="C127" s="497"/>
      <c r="D127" s="497"/>
      <c r="E127" s="497"/>
      <c r="F127" s="497"/>
      <c r="G127" s="497"/>
      <c r="H127" s="497"/>
      <c r="I127" s="497"/>
      <c r="J127" s="180"/>
      <c r="K127" s="163"/>
    </row>
    <row r="128" spans="1:11" s="160" customFormat="1" ht="18.75" hidden="1" x14ac:dyDescent="0.3">
      <c r="A128" s="178">
        <v>5.28</v>
      </c>
      <c r="B128" s="178">
        <v>11.09</v>
      </c>
      <c r="C128" s="178">
        <v>47.35</v>
      </c>
      <c r="D128" s="178">
        <v>310.29000000000002</v>
      </c>
      <c r="E128" s="152" t="s">
        <v>594</v>
      </c>
      <c r="F128" s="277" t="s">
        <v>595</v>
      </c>
      <c r="G128" s="153" t="str">
        <f>IFERROR(VLOOKUP(F128,[12]Реестр!A:K,2,0),"")</f>
        <v/>
      </c>
      <c r="H128" s="149">
        <v>200</v>
      </c>
      <c r="I128" s="150">
        <v>5.8</v>
      </c>
      <c r="J128" s="180"/>
      <c r="K128" s="163"/>
    </row>
    <row r="129" spans="1:11" s="160" customFormat="1" ht="18.75" hidden="1" x14ac:dyDescent="0.3">
      <c r="A129" s="498" t="s">
        <v>16</v>
      </c>
      <c r="B129" s="499"/>
      <c r="C129" s="499"/>
      <c r="D129" s="499"/>
      <c r="E129" s="499"/>
      <c r="F129" s="500"/>
      <c r="G129" s="164"/>
      <c r="H129" s="149"/>
      <c r="I129" s="150">
        <f>I128</f>
        <v>5.8</v>
      </c>
      <c r="J129" s="180"/>
      <c r="K129" s="163"/>
    </row>
    <row r="130" spans="1:11" s="160" customFormat="1" ht="18.75" x14ac:dyDescent="0.3">
      <c r="A130" s="501" t="s">
        <v>648</v>
      </c>
      <c r="B130" s="502"/>
      <c r="C130" s="502"/>
      <c r="D130" s="502"/>
      <c r="E130" s="502"/>
      <c r="F130" s="502"/>
      <c r="G130" s="502"/>
      <c r="H130" s="502"/>
      <c r="I130" s="503"/>
      <c r="J130" s="180"/>
      <c r="K130" s="163"/>
    </row>
    <row r="131" spans="1:11" s="160" customFormat="1" ht="18.75" x14ac:dyDescent="0.25">
      <c r="A131" s="273">
        <v>14.01</v>
      </c>
      <c r="B131" s="189">
        <v>6.2079999999999993</v>
      </c>
      <c r="C131" s="189">
        <v>12.072000000000001</v>
      </c>
      <c r="D131" s="189">
        <v>117.68388800000001</v>
      </c>
      <c r="E131" s="190" t="s">
        <v>628</v>
      </c>
      <c r="F131" s="273" t="s">
        <v>629</v>
      </c>
      <c r="G131" s="191" t="str">
        <f>IFERROR(VLOOKUP(F131,[2]Реестр!A:K,2,0),"")</f>
        <v/>
      </c>
      <c r="H131" s="190">
        <v>60</v>
      </c>
      <c r="I131" s="274">
        <v>16.28</v>
      </c>
      <c r="J131" s="180"/>
      <c r="K131" s="163"/>
    </row>
    <row r="132" spans="1:11" s="160" customFormat="1" ht="18.75" x14ac:dyDescent="0.3">
      <c r="A132" s="189">
        <v>8.9166666666666661</v>
      </c>
      <c r="B132" s="189">
        <v>7.75</v>
      </c>
      <c r="C132" s="189">
        <v>19.5</v>
      </c>
      <c r="D132" s="189">
        <v>185</v>
      </c>
      <c r="E132" s="190" t="s">
        <v>213</v>
      </c>
      <c r="F132" s="273" t="s">
        <v>212</v>
      </c>
      <c r="G132" s="191" t="str">
        <f>IFERROR(VLOOKUP(F132,[2]Реестр!A:K,2,0),"")</f>
        <v>300</v>
      </c>
      <c r="H132" s="192">
        <v>200</v>
      </c>
      <c r="I132" s="193">
        <v>33.6</v>
      </c>
      <c r="J132" s="180"/>
      <c r="K132" s="163"/>
    </row>
    <row r="133" spans="1:11" s="160" customFormat="1" ht="18.75" x14ac:dyDescent="0.3">
      <c r="A133" s="189">
        <v>17.37</v>
      </c>
      <c r="B133" s="189">
        <v>9.0540000000000003</v>
      </c>
      <c r="C133" s="189">
        <v>30.789000000000001</v>
      </c>
      <c r="D133" s="189">
        <v>274.12200000000001</v>
      </c>
      <c r="E133" s="190" t="s">
        <v>630</v>
      </c>
      <c r="F133" s="273" t="s">
        <v>631</v>
      </c>
      <c r="G133" s="191" t="str">
        <f>IFERROR(VLOOKUP(F133,[2]Реестр!A:K,2,0),"")</f>
        <v/>
      </c>
      <c r="H133" s="192">
        <v>200</v>
      </c>
      <c r="I133" s="192">
        <v>87.64</v>
      </c>
      <c r="J133" s="180"/>
      <c r="K133" s="163"/>
    </row>
    <row r="134" spans="1:11" s="160" customFormat="1" ht="18.75" x14ac:dyDescent="0.3">
      <c r="A134" s="189">
        <v>0.2</v>
      </c>
      <c r="B134" s="189">
        <v>0</v>
      </c>
      <c r="C134" s="189">
        <v>13.7</v>
      </c>
      <c r="D134" s="189">
        <v>53</v>
      </c>
      <c r="E134" s="190" t="s">
        <v>353</v>
      </c>
      <c r="F134" s="273" t="s">
        <v>499</v>
      </c>
      <c r="G134" s="191" t="str">
        <f>IFERROR(VLOOKUP(F134,[2]Реестр!A:K,2,0),"")</f>
        <v>200</v>
      </c>
      <c r="H134" s="192">
        <v>200</v>
      </c>
      <c r="I134" s="193">
        <v>4.38</v>
      </c>
      <c r="J134" s="180"/>
      <c r="K134" s="163"/>
    </row>
    <row r="135" spans="1:11" s="160" customFormat="1" ht="18.75" x14ac:dyDescent="0.3">
      <c r="A135" s="189">
        <v>2.64</v>
      </c>
      <c r="B135" s="189">
        <v>0.24</v>
      </c>
      <c r="C135" s="189">
        <v>18.72</v>
      </c>
      <c r="D135" s="189">
        <v>89.6</v>
      </c>
      <c r="E135" s="190" t="s">
        <v>471</v>
      </c>
      <c r="F135" s="194" t="s">
        <v>66</v>
      </c>
      <c r="G135" s="191" t="str">
        <f>IFERROR(VLOOKUP(F135,[2]Реестр!A:K,2,0),"")</f>
        <v>100</v>
      </c>
      <c r="H135" s="192">
        <v>23</v>
      </c>
      <c r="I135" s="193">
        <v>2.1</v>
      </c>
      <c r="J135" s="180"/>
      <c r="K135" s="163"/>
    </row>
    <row r="136" spans="1:11" s="160" customFormat="1" ht="18.75" x14ac:dyDescent="0.3">
      <c r="A136" s="189"/>
      <c r="B136" s="189"/>
      <c r="C136" s="189"/>
      <c r="D136" s="189"/>
      <c r="E136" s="195"/>
      <c r="F136" s="194"/>
      <c r="G136" s="191"/>
      <c r="H136" s="192"/>
      <c r="I136" s="193"/>
      <c r="J136" s="180"/>
      <c r="K136" s="163"/>
    </row>
    <row r="137" spans="1:11" s="160" customFormat="1" ht="18.75" x14ac:dyDescent="0.3">
      <c r="A137" s="498" t="s">
        <v>16</v>
      </c>
      <c r="B137" s="499"/>
      <c r="C137" s="499"/>
      <c r="D137" s="499"/>
      <c r="E137" s="499"/>
      <c r="F137" s="500"/>
      <c r="G137" s="164"/>
      <c r="H137" s="149"/>
      <c r="I137" s="150">
        <f>SUM(I131:I136)</f>
        <v>144</v>
      </c>
      <c r="J137" s="334">
        <f>144-I137</f>
        <v>0</v>
      </c>
      <c r="K137" s="163"/>
    </row>
    <row r="138" spans="1:11" s="160" customFormat="1" ht="18.75" x14ac:dyDescent="0.3">
      <c r="A138" s="463" t="s">
        <v>597</v>
      </c>
      <c r="B138" s="463"/>
      <c r="C138" s="463"/>
      <c r="D138" s="463"/>
      <c r="E138" s="463"/>
      <c r="F138" s="463"/>
      <c r="G138" s="463"/>
      <c r="H138" s="463"/>
      <c r="I138" s="463"/>
      <c r="J138" s="334"/>
      <c r="K138" s="163"/>
    </row>
    <row r="139" spans="1:11" s="160" customFormat="1" ht="18.75" x14ac:dyDescent="0.3">
      <c r="A139" s="340">
        <v>9.68</v>
      </c>
      <c r="B139" s="340">
        <v>7.2</v>
      </c>
      <c r="C139" s="340">
        <v>34.64</v>
      </c>
      <c r="D139" s="340">
        <v>244</v>
      </c>
      <c r="E139" s="210" t="s">
        <v>404</v>
      </c>
      <c r="F139" s="276" t="s">
        <v>415</v>
      </c>
      <c r="G139" s="211" t="str">
        <f>IFERROR(VLOOKUP(F139,[2]Реестр!A:K,2,0),"")</f>
        <v>100</v>
      </c>
      <c r="H139" s="206">
        <v>100</v>
      </c>
      <c r="I139" s="207">
        <v>42</v>
      </c>
      <c r="J139" s="334"/>
      <c r="K139" s="163"/>
    </row>
    <row r="140" spans="1:11" s="160" customFormat="1" ht="18.75" x14ac:dyDescent="0.3">
      <c r="A140" s="341">
        <v>0.18</v>
      </c>
      <c r="B140" s="341">
        <v>0.04</v>
      </c>
      <c r="C140" s="341">
        <v>13.75</v>
      </c>
      <c r="D140" s="341">
        <v>53.136642799999997</v>
      </c>
      <c r="E140" s="342" t="str">
        <f>"11/56"</f>
        <v>11/56</v>
      </c>
      <c r="F140" s="182" t="s">
        <v>649</v>
      </c>
      <c r="G140" s="153" t="str">
        <f>IFERROR(VLOOKUP(F140,[12]Реестр!A:K,2,0),"")</f>
        <v/>
      </c>
      <c r="H140" s="149">
        <v>200</v>
      </c>
      <c r="I140" s="150">
        <v>8</v>
      </c>
      <c r="J140" s="334"/>
      <c r="K140" s="163"/>
    </row>
    <row r="141" spans="1:11" s="160" customFormat="1" ht="18.75" x14ac:dyDescent="0.3">
      <c r="A141" s="494" t="s">
        <v>16</v>
      </c>
      <c r="B141" s="494"/>
      <c r="C141" s="494"/>
      <c r="D141" s="494"/>
      <c r="E141" s="494"/>
      <c r="F141" s="494"/>
      <c r="G141" s="164"/>
      <c r="H141" s="149"/>
      <c r="I141" s="150">
        <f>SUM(I139:I140)</f>
        <v>50</v>
      </c>
      <c r="J141" s="334"/>
      <c r="K141" s="163"/>
    </row>
    <row r="142" spans="1:11" s="160" customFormat="1" ht="18.75" x14ac:dyDescent="0.3">
      <c r="A142" s="336"/>
      <c r="B142" s="336"/>
      <c r="C142" s="336"/>
      <c r="D142" s="336"/>
      <c r="E142" s="336"/>
      <c r="F142" s="336"/>
      <c r="G142" s="337"/>
      <c r="H142" s="338"/>
      <c r="I142" s="339"/>
      <c r="J142" s="334"/>
      <c r="K142" s="163"/>
    </row>
    <row r="143" spans="1:11" s="180" customFormat="1" ht="18.75" x14ac:dyDescent="0.3">
      <c r="B143" s="182"/>
      <c r="C143" s="183"/>
      <c r="D143" s="183"/>
      <c r="E143" s="183"/>
      <c r="F143" s="184" t="s">
        <v>37</v>
      </c>
      <c r="G143" s="185"/>
      <c r="H143" s="186"/>
      <c r="I143" s="335"/>
      <c r="K143" s="160"/>
    </row>
    <row r="144" spans="1:11" s="160" customFormat="1" x14ac:dyDescent="0.25">
      <c r="A144" s="180"/>
      <c r="B144" s="182"/>
      <c r="C144" s="183"/>
      <c r="D144" s="183"/>
      <c r="E144" s="183"/>
      <c r="F144" s="183"/>
      <c r="G144" s="183"/>
      <c r="H144" s="183"/>
      <c r="I144" s="183"/>
      <c r="J144" s="180"/>
    </row>
  </sheetData>
  <autoFilter ref="A4:I93" xr:uid="{00000000-0009-0000-0000-000011000000}"/>
  <mergeCells count="56">
    <mergeCell ref="A22:I22"/>
    <mergeCell ref="A29:F29"/>
    <mergeCell ref="A30:I30"/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  <mergeCell ref="J4:J5"/>
    <mergeCell ref="A6:I6"/>
    <mergeCell ref="A12:F12"/>
    <mergeCell ref="A13:I13"/>
    <mergeCell ref="G4:G5"/>
    <mergeCell ref="H4:H5"/>
    <mergeCell ref="A38:F38"/>
    <mergeCell ref="A39:I3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A40:I40"/>
    <mergeCell ref="A118:I118"/>
    <mergeCell ref="A85:I85"/>
    <mergeCell ref="A93:F93"/>
    <mergeCell ref="A94:I94"/>
    <mergeCell ref="I95:I99"/>
    <mergeCell ref="A100:F100"/>
    <mergeCell ref="A101:I101"/>
    <mergeCell ref="I102:I107"/>
    <mergeCell ref="A108:F108"/>
    <mergeCell ref="A109:I109"/>
    <mergeCell ref="I110:I116"/>
    <mergeCell ref="A117:F117"/>
    <mergeCell ref="A138:I138"/>
    <mergeCell ref="A141:F141"/>
    <mergeCell ref="I119:I125"/>
    <mergeCell ref="A126:F126"/>
    <mergeCell ref="A127:I127"/>
    <mergeCell ref="A129:F129"/>
    <mergeCell ref="A130:I130"/>
    <mergeCell ref="A137:F137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1100-000000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F114 F123</xm:sqref>
        </x14:dataValidation>
        <x14:dataValidation type="list" allowBlank="1" showInputMessage="1" showErrorMessage="1" xr:uid="{00000000-0002-0000-1100-000001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F19 F27:F28 F36 F52 F68 F76:F77 F91 F60:F61 F10:F11 F98:F99 F105:F106 F44:F45</xm:sqref>
        </x14:dataValidation>
        <x14:dataValidation type="list" allowBlank="1" showInputMessage="1" showErrorMessage="1" xr:uid="{00000000-0002-0000-1100-000002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F14:F16 F24 F31:F33 F47:F49 F63:F65 F73 F86:F88 F83 F110 F119 F131:F133</xm:sqref>
        </x14:dataValidation>
        <x14:dataValidation type="list" allowBlank="1" showInputMessage="1" showErrorMessage="1" xr:uid="{00000000-0002-0000-1100-000003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F20 F37 F53 F69 F92 F115 F124:F125 F136</xm:sqref>
        </x14:dataValidation>
        <x14:dataValidation type="list" allowBlank="1" showInputMessage="1" showErrorMessage="1" xr:uid="{00000000-0002-0000-1100-000004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F19 F27:F28 F36 F52 F68 F76:F77 F91 F60:F61 F10:F11 F98:F99 F105:F106 F44:F45</xm:sqref>
        </x14:dataValidation>
        <x14:dataValidation type="list" allowBlank="1" showInputMessage="1" showErrorMessage="1" xr:uid="{00000000-0002-0000-1100-000005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F17:F18 F25:F26 F34:F35 F50:F51 F66:F67 F74:F75 F89:F90 F111:F113 F120:F122 F134:F135 F102:F104 F116 F7:F9 F41:F43 F57:F59 F95:F97 F107</xm:sqref>
        </x14:dataValidation>
        <x14:dataValidation type="list" allowBlank="1" showInputMessage="1" showErrorMessage="1" xr:uid="{00000000-0002-0000-1100-000006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F23 F72 F80</xm:sqref>
        </x14:dataValidation>
        <x14:dataValidation type="list" allowBlank="1" showInputMessage="1" showErrorMessage="1" xr:uid="{00000000-0002-0000-1100-000007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F128</xm:sqref>
        </x14:dataValidation>
        <x14:dataValidation type="list" allowBlank="1" showInputMessage="1" showErrorMessage="1" xr:uid="{00000000-0002-0000-1100-000009000000}">
          <x14:formula1>
            <xm:f>'\\10.54.90.100\Private\Общая\Соцпитание\Технологические карты (мои школьные)\Школьное питание\АИС\Меню на доски (формат PDF)\Сентябрь 2024\[04.09. н1д3.xlsm]Реестр'!#REF!</xm:f>
          </x14:formula1>
          <x14:formula2>
            <xm:f>0</xm:f>
          </x14:formula2>
          <xm:sqref>F139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36">
    <pageSetUpPr fitToPage="1"/>
  </sheetPr>
  <dimension ref="A1:L169"/>
  <sheetViews>
    <sheetView view="pageBreakPreview" topLeftCell="A78" zoomScaleNormal="100" zoomScaleSheetLayoutView="100" workbookViewId="0">
      <selection activeCell="A139" sqref="A139:I142"/>
    </sheetView>
  </sheetViews>
  <sheetFormatPr defaultRowHeight="15.75" x14ac:dyDescent="0.25"/>
  <cols>
    <col min="1" max="1" width="11.28515625" style="305" customWidth="1"/>
    <col min="2" max="2" width="11.28515625" style="324" customWidth="1"/>
    <col min="3" max="3" width="10.5703125" style="325" customWidth="1"/>
    <col min="4" max="4" width="10.28515625" style="325" customWidth="1"/>
    <col min="5" max="5" width="14" style="325" customWidth="1"/>
    <col min="6" max="6" width="57.85546875" style="325" customWidth="1"/>
    <col min="7" max="7" width="17.85546875" style="325" hidden="1" customWidth="1"/>
    <col min="8" max="9" width="15.5703125" style="325" customWidth="1"/>
    <col min="10" max="10" width="25.5703125" style="305" customWidth="1"/>
    <col min="11" max="1025" width="8.7109375" style="283" customWidth="1"/>
    <col min="1026" max="16384" width="9.140625" style="283"/>
  </cols>
  <sheetData>
    <row r="1" spans="1:12" s="282" customFormat="1" ht="29.25" customHeight="1" x14ac:dyDescent="0.25">
      <c r="A1" s="526"/>
      <c r="B1" s="526"/>
      <c r="C1" s="174"/>
      <c r="D1" s="174"/>
      <c r="E1" s="174"/>
      <c r="F1" s="159" t="s">
        <v>618</v>
      </c>
      <c r="G1" s="159"/>
      <c r="H1" s="527" t="s">
        <v>0</v>
      </c>
      <c r="I1" s="527"/>
    </row>
    <row r="2" spans="1:12" s="282" customFormat="1" ht="29.25" customHeight="1" x14ac:dyDescent="0.25">
      <c r="A2" s="174"/>
      <c r="B2" s="174"/>
      <c r="C2" s="175"/>
      <c r="D2" s="175"/>
      <c r="E2" s="175"/>
      <c r="F2" s="159" t="s">
        <v>650</v>
      </c>
      <c r="G2" s="159"/>
      <c r="H2" s="528" t="s">
        <v>651</v>
      </c>
      <c r="I2" s="528"/>
      <c r="J2" s="281"/>
    </row>
    <row r="3" spans="1:12" s="282" customFormat="1" ht="29.25" customHeight="1" x14ac:dyDescent="0.25">
      <c r="A3" s="529"/>
      <c r="B3" s="529"/>
      <c r="C3" s="529"/>
      <c r="D3" s="530"/>
      <c r="E3" s="530"/>
      <c r="F3" s="159" t="s">
        <v>660</v>
      </c>
      <c r="G3" s="159"/>
      <c r="H3" s="531" t="s">
        <v>652</v>
      </c>
      <c r="I3" s="531"/>
    </row>
    <row r="4" spans="1:12" s="160" customFormat="1" ht="15" customHeight="1" x14ac:dyDescent="0.25">
      <c r="A4" s="514" t="s">
        <v>4</v>
      </c>
      <c r="B4" s="514"/>
      <c r="C4" s="514"/>
      <c r="D4" s="511" t="s">
        <v>5</v>
      </c>
      <c r="E4" s="511" t="s">
        <v>6</v>
      </c>
      <c r="F4" s="511" t="s">
        <v>7</v>
      </c>
      <c r="G4" s="512" t="s">
        <v>8</v>
      </c>
      <c r="H4" s="511" t="s">
        <v>9</v>
      </c>
      <c r="I4" s="511" t="s">
        <v>10</v>
      </c>
      <c r="J4" s="511" t="s">
        <v>11</v>
      </c>
    </row>
    <row r="5" spans="1:12" s="160" customFormat="1" x14ac:dyDescent="0.25">
      <c r="A5" s="176" t="s">
        <v>12</v>
      </c>
      <c r="B5" s="176" t="s">
        <v>13</v>
      </c>
      <c r="C5" s="176" t="s">
        <v>14</v>
      </c>
      <c r="D5" s="511"/>
      <c r="E5" s="511"/>
      <c r="F5" s="511"/>
      <c r="G5" s="512"/>
      <c r="H5" s="511"/>
      <c r="I5" s="511"/>
      <c r="J5" s="511"/>
    </row>
    <row r="6" spans="1:12" s="160" customFormat="1" ht="18" customHeight="1" x14ac:dyDescent="0.3">
      <c r="A6" s="463" t="s">
        <v>15</v>
      </c>
      <c r="B6" s="463"/>
      <c r="C6" s="463"/>
      <c r="D6" s="463"/>
      <c r="E6" s="463"/>
      <c r="F6" s="463"/>
      <c r="G6" s="463"/>
      <c r="H6" s="463"/>
      <c r="I6" s="463"/>
      <c r="J6" s="177"/>
    </row>
    <row r="7" spans="1:12" s="160" customFormat="1" ht="18" customHeight="1" x14ac:dyDescent="0.3">
      <c r="A7" s="151">
        <f>IFERROR(VLOOKUP(F7,[1]Реестр!A:K,3,0)*H7/G7,"")</f>
        <v>3.8</v>
      </c>
      <c r="B7" s="151">
        <f>IFERROR(VLOOKUP(F7,[1]Реестр!A:K,4,0)*H7/G7,"")</f>
        <v>6.6</v>
      </c>
      <c r="C7" s="151">
        <f>IFERROR(VLOOKUP(F7,[1]Реестр!A:K,5,0)*H7/G7,"")</f>
        <v>9.6999999999999993</v>
      </c>
      <c r="D7" s="151">
        <f>IFERROR(VLOOKUP(F7,[1]Реестр!A:K,6,0)*H7/G7,"")</f>
        <v>116</v>
      </c>
      <c r="E7" s="152" t="str">
        <f>IFERROR(VLOOKUP(F7,[1]Реестр!A:K,11,0),"")</f>
        <v>1*58</v>
      </c>
      <c r="F7" s="161" t="s">
        <v>527</v>
      </c>
      <c r="G7" s="153" t="str">
        <f>IFERROR(VLOOKUP(F7,[1]Реестр!A:K,2,0),"")</f>
        <v>35</v>
      </c>
      <c r="H7" s="152">
        <v>35</v>
      </c>
      <c r="I7" s="150">
        <v>26.85</v>
      </c>
      <c r="J7" s="178" t="str">
        <f>IFERROR(VLOOKUP(O7,Реестр!#REF!,3,0)*Q7/P7,"")</f>
        <v/>
      </c>
    </row>
    <row r="8" spans="1:12" s="160" customFormat="1" ht="18" customHeight="1" x14ac:dyDescent="0.3">
      <c r="A8" s="151">
        <v>9.75</v>
      </c>
      <c r="B8" s="151">
        <v>12.14</v>
      </c>
      <c r="C8" s="151">
        <v>36.06</v>
      </c>
      <c r="D8" s="151">
        <v>291.64</v>
      </c>
      <c r="E8" s="152" t="s">
        <v>133</v>
      </c>
      <c r="F8" s="326" t="s">
        <v>614</v>
      </c>
      <c r="G8" s="153" t="str">
        <f>IFERROR(VLOOKUP(F8,[1]Реестр!A:K,2,0),"")</f>
        <v/>
      </c>
      <c r="H8" s="152">
        <v>230</v>
      </c>
      <c r="I8" s="150">
        <v>38.270000000000003</v>
      </c>
      <c r="J8" s="178" t="str">
        <f>IFERROR(VLOOKUP(O8,Реестр!#REF!,3,0)*Q8/P8,"")</f>
        <v/>
      </c>
    </row>
    <row r="9" spans="1:12" s="160" customFormat="1" ht="18" customHeight="1" x14ac:dyDescent="0.3">
      <c r="A9" s="151">
        <f>IFERROR(VLOOKUP(F9,[1]Реестр!A:K,3,0)*H9/G9,"")</f>
        <v>0.15</v>
      </c>
      <c r="B9" s="151">
        <f>IFERROR(VLOOKUP(F9,[1]Реестр!A:K,4,0)*H9/G9,"")</f>
        <v>0.09</v>
      </c>
      <c r="C9" s="151">
        <f>IFERROR(VLOOKUP(F9,[1]Реестр!A:K,5,0)*H9/G9,"")</f>
        <v>8.58</v>
      </c>
      <c r="D9" s="151">
        <f>IFERROR(VLOOKUP(F9,[1]Реестр!A:K,6,0)*H9/G9,"")</f>
        <v>34.799999999999997</v>
      </c>
      <c r="E9" s="152" t="str">
        <f>IFERROR(VLOOKUP(F9,[1]Реестр!A:K,11,0),"")</f>
        <v>12*2</v>
      </c>
      <c r="F9" s="277" t="s">
        <v>371</v>
      </c>
      <c r="G9" s="153" t="str">
        <f>IFERROR(VLOOKUP(F9,[1]Реестр!A:K,2,0),"")</f>
        <v>100</v>
      </c>
      <c r="H9" s="152">
        <v>30</v>
      </c>
      <c r="I9" s="150">
        <v>17.559999999999999</v>
      </c>
      <c r="J9" s="178" t="str">
        <f>IFERROR(VLOOKUP(O9,Реестр!#REF!,3,0)*Q9/P9,"")</f>
        <v/>
      </c>
    </row>
    <row r="10" spans="1:12" s="160" customFormat="1" ht="18" customHeight="1" x14ac:dyDescent="0.3">
      <c r="A10" s="151">
        <f>IFERROR(VLOOKUP(F10,[1]Реестр!A:K,3,0)*H10/G10,"")</f>
        <v>3.6</v>
      </c>
      <c r="B10" s="151">
        <f>IFERROR(VLOOKUP(F10,[1]Реестр!A:K,4,0)*H10/G10,"")</f>
        <v>2.7</v>
      </c>
      <c r="C10" s="151">
        <f>IFERROR(VLOOKUP(F10,[1]Реестр!A:K,5,0)*H10/G10,"")</f>
        <v>22.9</v>
      </c>
      <c r="D10" s="151">
        <f>IFERROR(VLOOKUP(F10,[1]Реестр!A:K,6,0)*H10/G10,"")</f>
        <v>127</v>
      </c>
      <c r="E10" s="152" t="str">
        <f>IFERROR(VLOOKUP(F10,[1]Реестр!A:K,11,0),"")</f>
        <v>11*51</v>
      </c>
      <c r="F10" s="277" t="s">
        <v>342</v>
      </c>
      <c r="G10" s="153">
        <f>IFERROR(VLOOKUP(F10,[1]Реестр!A:K,2,0),"")</f>
        <v>200</v>
      </c>
      <c r="H10" s="149">
        <v>200</v>
      </c>
      <c r="I10" s="150">
        <v>24.16</v>
      </c>
      <c r="J10" s="178" t="str">
        <f>IFERROR(VLOOKUP(O10,Реестр!#REF!,3,0)*Q10/P10,"")</f>
        <v/>
      </c>
    </row>
    <row r="11" spans="1:12" s="160" customFormat="1" ht="18.75" x14ac:dyDescent="0.3">
      <c r="A11" s="151">
        <f>IFERROR(VLOOKUP(F11,[1]Реестр!A:K,3,0)*H11/G11,"")</f>
        <v>1.32</v>
      </c>
      <c r="B11" s="151">
        <f>IFERROR(VLOOKUP(F11,[1]Реестр!A:K,4,0)*H11/G11,"")</f>
        <v>0.24</v>
      </c>
      <c r="C11" s="151">
        <f>IFERROR(VLOOKUP(F11,[1]Реестр!A:K,5,0)*H11/G11,"")</f>
        <v>6.68</v>
      </c>
      <c r="D11" s="151">
        <f>IFERROR(VLOOKUP(F11,[1]Реестр!A:K,6,0)*H11/G11,"")</f>
        <v>38.6</v>
      </c>
      <c r="E11" s="152" t="str">
        <f>IFERROR(VLOOKUP(F11,[1]Реестр!A:K,11,0),"")</f>
        <v>-</v>
      </c>
      <c r="F11" s="162" t="s">
        <v>65</v>
      </c>
      <c r="G11" s="153" t="str">
        <f>IFERROR(VLOOKUP(F11,[1]Реестр!A:K,2,0),"")</f>
        <v>100</v>
      </c>
      <c r="H11" s="149">
        <v>20</v>
      </c>
      <c r="I11" s="150">
        <v>1.8</v>
      </c>
      <c r="J11" s="149"/>
      <c r="K11" s="163"/>
    </row>
    <row r="12" spans="1:12" s="160" customFormat="1" ht="18" customHeight="1" x14ac:dyDescent="0.3">
      <c r="A12" s="494" t="s">
        <v>16</v>
      </c>
      <c r="B12" s="494"/>
      <c r="C12" s="494"/>
      <c r="D12" s="494"/>
      <c r="E12" s="494"/>
      <c r="F12" s="494"/>
      <c r="G12" s="164"/>
      <c r="H12" s="149"/>
      <c r="I12" s="150">
        <f>SUM(I7:I11)</f>
        <v>108.64</v>
      </c>
      <c r="J12" s="149">
        <v>85.2</v>
      </c>
      <c r="K12" s="163">
        <f>I12-J12</f>
        <v>23.439999999999998</v>
      </c>
      <c r="L12" s="163"/>
    </row>
    <row r="13" spans="1:12" s="160" customFormat="1" ht="18" customHeight="1" x14ac:dyDescent="0.3">
      <c r="A13" s="463" t="s">
        <v>17</v>
      </c>
      <c r="B13" s="463"/>
      <c r="C13" s="463"/>
      <c r="D13" s="463"/>
      <c r="E13" s="463"/>
      <c r="F13" s="463"/>
      <c r="G13" s="463"/>
      <c r="H13" s="463"/>
      <c r="I13" s="463"/>
      <c r="J13" s="177"/>
    </row>
    <row r="14" spans="1:12" s="160" customFormat="1" ht="18.75" x14ac:dyDescent="0.3">
      <c r="A14" s="273">
        <v>14.01</v>
      </c>
      <c r="B14" s="189">
        <v>6.2079999999999993</v>
      </c>
      <c r="C14" s="189">
        <v>12.072000000000001</v>
      </c>
      <c r="D14" s="189">
        <v>117.68388800000001</v>
      </c>
      <c r="E14" s="190" t="s">
        <v>628</v>
      </c>
      <c r="F14" s="273" t="s">
        <v>629</v>
      </c>
      <c r="G14" s="191" t="str">
        <f>IFERROR(VLOOKUP(F14,[2]Реестр!A:K,2,0),"")</f>
        <v/>
      </c>
      <c r="H14" s="190">
        <v>80</v>
      </c>
      <c r="I14" s="274">
        <v>21.73</v>
      </c>
      <c r="J14" s="178" t="str">
        <f>IFERROR(VLOOKUP(O14,Реестр!#REF!,3,0)*Q14/P14,"")</f>
        <v/>
      </c>
    </row>
    <row r="15" spans="1:12" s="160" customFormat="1" ht="18" customHeight="1" x14ac:dyDescent="0.3">
      <c r="A15" s="189">
        <v>8.9166666666666661</v>
      </c>
      <c r="B15" s="189">
        <v>7.75</v>
      </c>
      <c r="C15" s="189">
        <v>19.5</v>
      </c>
      <c r="D15" s="189">
        <v>185</v>
      </c>
      <c r="E15" s="190" t="s">
        <v>213</v>
      </c>
      <c r="F15" s="273" t="s">
        <v>212</v>
      </c>
      <c r="G15" s="191" t="str">
        <f>IFERROR(VLOOKUP(F15,[2]Реестр!A:K,2,0),"")</f>
        <v>300</v>
      </c>
      <c r="H15" s="192">
        <v>250</v>
      </c>
      <c r="I15" s="193">
        <v>42</v>
      </c>
      <c r="J15" s="178" t="str">
        <f>IFERROR(VLOOKUP(O15,Реестр!#REF!,3,0)*Q15/P15,"")</f>
        <v/>
      </c>
    </row>
    <row r="16" spans="1:12" s="160" customFormat="1" ht="18" customHeight="1" x14ac:dyDescent="0.3">
      <c r="A16" s="189">
        <v>17.37</v>
      </c>
      <c r="B16" s="189">
        <v>9.0540000000000003</v>
      </c>
      <c r="C16" s="189">
        <v>30.789000000000001</v>
      </c>
      <c r="D16" s="189">
        <v>274.12200000000001</v>
      </c>
      <c r="E16" s="190" t="s">
        <v>630</v>
      </c>
      <c r="F16" s="273" t="s">
        <v>631</v>
      </c>
      <c r="G16" s="191" t="str">
        <f>IFERROR(VLOOKUP(F16,[2]Реестр!A:K,2,0),"")</f>
        <v/>
      </c>
      <c r="H16" s="192">
        <v>200</v>
      </c>
      <c r="I16" s="192">
        <v>87.64</v>
      </c>
      <c r="J16" s="178" t="str">
        <f>IFERROR(VLOOKUP(O16,Реестр!#REF!,3,0)*Q16/P16,"")</f>
        <v/>
      </c>
    </row>
    <row r="17" spans="1:12" s="160" customFormat="1" ht="18" customHeight="1" x14ac:dyDescent="0.3">
      <c r="A17" s="189">
        <v>0.2</v>
      </c>
      <c r="B17" s="189">
        <v>0</v>
      </c>
      <c r="C17" s="189">
        <v>13.7</v>
      </c>
      <c r="D17" s="189">
        <v>53</v>
      </c>
      <c r="E17" s="190" t="s">
        <v>353</v>
      </c>
      <c r="F17" s="273" t="s">
        <v>499</v>
      </c>
      <c r="G17" s="191" t="str">
        <f>IFERROR(VLOOKUP(F17,[2]Реестр!A:K,2,0),"")</f>
        <v>200</v>
      </c>
      <c r="H17" s="192">
        <v>200</v>
      </c>
      <c r="I17" s="193">
        <v>4.38</v>
      </c>
      <c r="J17" s="178"/>
    </row>
    <row r="18" spans="1:12" s="160" customFormat="1" ht="18" customHeight="1" x14ac:dyDescent="0.3">
      <c r="A18" s="189">
        <v>2.64</v>
      </c>
      <c r="B18" s="189">
        <v>0.24</v>
      </c>
      <c r="C18" s="189">
        <v>18.72</v>
      </c>
      <c r="D18" s="189">
        <v>89.6</v>
      </c>
      <c r="E18" s="190" t="s">
        <v>471</v>
      </c>
      <c r="F18" s="194" t="s">
        <v>66</v>
      </c>
      <c r="G18" s="191" t="str">
        <f>IFERROR(VLOOKUP(F18,[2]Реестр!A:K,2,0),"")</f>
        <v>100</v>
      </c>
      <c r="H18" s="192">
        <v>40</v>
      </c>
      <c r="I18" s="193">
        <v>3.6</v>
      </c>
      <c r="J18" s="178" t="str">
        <f>IFERROR(VLOOKUP(O18,Реестр!#REF!,3,0)*Q18/P18,"")</f>
        <v/>
      </c>
    </row>
    <row r="19" spans="1:12" s="160" customFormat="1" ht="18" customHeight="1" x14ac:dyDescent="0.3">
      <c r="A19" s="189">
        <v>2.64</v>
      </c>
      <c r="B19" s="189">
        <v>0.48</v>
      </c>
      <c r="C19" s="189">
        <v>13.36</v>
      </c>
      <c r="D19" s="189">
        <v>77.2</v>
      </c>
      <c r="E19" s="190" t="s">
        <v>471</v>
      </c>
      <c r="F19" s="194" t="s">
        <v>65</v>
      </c>
      <c r="G19" s="191" t="str">
        <f>IFERROR(VLOOKUP(F19,[2]Реестр!A:K,2,0),"")</f>
        <v>100</v>
      </c>
      <c r="H19" s="192">
        <v>40</v>
      </c>
      <c r="I19" s="193">
        <v>3.6</v>
      </c>
      <c r="J19" s="178" t="str">
        <f>IFERROR(VLOOKUP(O19,Реестр!#REF!,3,0)*Q19/P19,"")</f>
        <v/>
      </c>
    </row>
    <row r="20" spans="1:12" s="160" customFormat="1" ht="18" customHeight="1" x14ac:dyDescent="0.3">
      <c r="A20" s="189"/>
      <c r="B20" s="189"/>
      <c r="C20" s="189"/>
      <c r="D20" s="189"/>
      <c r="E20" s="195"/>
      <c r="F20" s="194"/>
      <c r="G20" s="191"/>
      <c r="H20" s="192"/>
      <c r="I20" s="193"/>
      <c r="J20" s="178"/>
    </row>
    <row r="21" spans="1:12" s="160" customFormat="1" ht="18.75" x14ac:dyDescent="0.3">
      <c r="A21" s="494" t="s">
        <v>16</v>
      </c>
      <c r="B21" s="494"/>
      <c r="C21" s="494"/>
      <c r="D21" s="494"/>
      <c r="E21" s="494"/>
      <c r="F21" s="494"/>
      <c r="G21" s="164"/>
      <c r="H21" s="149"/>
      <c r="I21" s="150">
        <f>SUM(I14:I20)</f>
        <v>162.94999999999999</v>
      </c>
      <c r="J21" s="149">
        <v>127.79</v>
      </c>
      <c r="K21" s="163">
        <f>J21-I21</f>
        <v>-35.159999999999982</v>
      </c>
    </row>
    <row r="22" spans="1:12" s="160" customFormat="1" ht="18.75" x14ac:dyDescent="0.3">
      <c r="A22" s="463" t="s">
        <v>500</v>
      </c>
      <c r="B22" s="463"/>
      <c r="C22" s="463"/>
      <c r="D22" s="463"/>
      <c r="E22" s="463"/>
      <c r="F22" s="463"/>
      <c r="G22" s="463"/>
      <c r="H22" s="463"/>
      <c r="I22" s="463"/>
      <c r="J22" s="177"/>
    </row>
    <row r="23" spans="1:12" s="160" customFormat="1" ht="18.75" x14ac:dyDescent="0.25">
      <c r="A23" s="151">
        <v>20.9</v>
      </c>
      <c r="B23" s="151">
        <v>3.6</v>
      </c>
      <c r="C23" s="151">
        <v>6.6</v>
      </c>
      <c r="D23" s="151">
        <v>114</v>
      </c>
      <c r="E23" s="152" t="s">
        <v>626</v>
      </c>
      <c r="F23" s="326" t="s">
        <v>627</v>
      </c>
      <c r="G23" s="153" t="str">
        <f>IFERROR(VLOOKUP(F23,[1]Реестр!A:K,2,0),"")</f>
        <v/>
      </c>
      <c r="H23" s="152">
        <v>30</v>
      </c>
      <c r="I23" s="157">
        <v>7.43</v>
      </c>
      <c r="J23" s="177"/>
    </row>
    <row r="24" spans="1:12" s="160" customFormat="1" ht="18.75" x14ac:dyDescent="0.3">
      <c r="A24" s="189">
        <v>21.712499999999999</v>
      </c>
      <c r="B24" s="189">
        <v>11.317500000000001</v>
      </c>
      <c r="C24" s="189">
        <v>38.486249999999998</v>
      </c>
      <c r="D24" s="189">
        <v>342.65249999999997</v>
      </c>
      <c r="E24" s="190" t="s">
        <v>630</v>
      </c>
      <c r="F24" s="273" t="s">
        <v>631</v>
      </c>
      <c r="G24" s="191" t="str">
        <f>IFERROR(VLOOKUP(F24,[2]Реестр!A:K,2,0),"")</f>
        <v/>
      </c>
      <c r="H24" s="192">
        <v>250</v>
      </c>
      <c r="I24" s="192">
        <v>109.55</v>
      </c>
      <c r="J24" s="178" t="str">
        <f>IFERROR(VLOOKUP(O24,Реестр!#REF!,3,0)*Q24/P24,"")</f>
        <v/>
      </c>
    </row>
    <row r="25" spans="1:12" s="160" customFormat="1" ht="18.75" x14ac:dyDescent="0.3">
      <c r="A25" s="189">
        <v>0.2</v>
      </c>
      <c r="B25" s="189">
        <v>0</v>
      </c>
      <c r="C25" s="189">
        <v>13.7</v>
      </c>
      <c r="D25" s="189">
        <v>53</v>
      </c>
      <c r="E25" s="190" t="s">
        <v>353</v>
      </c>
      <c r="F25" s="273" t="s">
        <v>499</v>
      </c>
      <c r="G25" s="191" t="str">
        <f>IFERROR(VLOOKUP(F25,[2]Реестр!A:K,2,0),"")</f>
        <v>200</v>
      </c>
      <c r="H25" s="192">
        <v>200</v>
      </c>
      <c r="I25" s="193">
        <v>4.38</v>
      </c>
      <c r="J25" s="178"/>
    </row>
    <row r="26" spans="1:12" s="160" customFormat="1" ht="18.75" x14ac:dyDescent="0.3">
      <c r="A26" s="189">
        <v>2.64</v>
      </c>
      <c r="B26" s="189">
        <v>0.24</v>
      </c>
      <c r="C26" s="189">
        <v>18.72</v>
      </c>
      <c r="D26" s="189">
        <v>89.6</v>
      </c>
      <c r="E26" s="190" t="s">
        <v>471</v>
      </c>
      <c r="F26" s="194" t="s">
        <v>66</v>
      </c>
      <c r="G26" s="191" t="str">
        <f>IFERROR(VLOOKUP(F26,[2]Реестр!A:K,2,0),"")</f>
        <v>100</v>
      </c>
      <c r="H26" s="192">
        <v>40</v>
      </c>
      <c r="I26" s="193">
        <v>3.6</v>
      </c>
      <c r="J26" s="178" t="str">
        <f>IFERROR(VLOOKUP(O26,Реестр!#REF!,3,0)*Q26/P26,"")</f>
        <v/>
      </c>
    </row>
    <row r="27" spans="1:12" s="160" customFormat="1" ht="18.75" x14ac:dyDescent="0.3">
      <c r="A27" s="189">
        <v>2.64</v>
      </c>
      <c r="B27" s="189">
        <v>0.48</v>
      </c>
      <c r="C27" s="189">
        <v>13.36</v>
      </c>
      <c r="D27" s="189">
        <v>77.2</v>
      </c>
      <c r="E27" s="190" t="s">
        <v>471</v>
      </c>
      <c r="F27" s="194" t="s">
        <v>65</v>
      </c>
      <c r="G27" s="191" t="str">
        <f>IFERROR(VLOOKUP(F27,[2]Реестр!A:K,2,0),"")</f>
        <v>100</v>
      </c>
      <c r="H27" s="192">
        <v>40</v>
      </c>
      <c r="I27" s="193">
        <v>3.6</v>
      </c>
      <c r="J27" s="178"/>
    </row>
    <row r="28" spans="1:12" s="160" customFormat="1" ht="18.75" x14ac:dyDescent="0.3">
      <c r="A28" s="189"/>
      <c r="B28" s="189"/>
      <c r="C28" s="189"/>
      <c r="D28" s="189"/>
      <c r="E28" s="190"/>
      <c r="F28" s="194"/>
      <c r="G28" s="191"/>
      <c r="H28" s="192"/>
      <c r="I28" s="193"/>
      <c r="J28" s="178" t="str">
        <f>IFERROR(VLOOKUP(O28,Реестр!#REF!,3,0)*Q28/P28,"")</f>
        <v/>
      </c>
    </row>
    <row r="29" spans="1:12" s="160" customFormat="1" ht="18.75" x14ac:dyDescent="0.3">
      <c r="A29" s="498" t="s">
        <v>16</v>
      </c>
      <c r="B29" s="499"/>
      <c r="C29" s="499"/>
      <c r="D29" s="499"/>
      <c r="E29" s="499"/>
      <c r="F29" s="500"/>
      <c r="G29" s="164"/>
      <c r="H29" s="149"/>
      <c r="I29" s="150">
        <f>SUM(I23:I28)</f>
        <v>128.55999999999997</v>
      </c>
      <c r="J29" s="149">
        <v>98.52</v>
      </c>
      <c r="K29" s="163">
        <f>I29-J29</f>
        <v>30.039999999999978</v>
      </c>
      <c r="L29" s="163"/>
    </row>
    <row r="30" spans="1:12" ht="18.75" hidden="1" x14ac:dyDescent="0.3">
      <c r="A30" s="513" t="s">
        <v>501</v>
      </c>
      <c r="B30" s="513"/>
      <c r="C30" s="513"/>
      <c r="D30" s="513"/>
      <c r="E30" s="513"/>
      <c r="F30" s="513"/>
      <c r="G30" s="513"/>
      <c r="H30" s="513"/>
      <c r="I30" s="513"/>
      <c r="J30" s="289"/>
    </row>
    <row r="31" spans="1:12" ht="18.75" hidden="1" x14ac:dyDescent="0.3">
      <c r="A31" s="295">
        <v>14.01</v>
      </c>
      <c r="B31" s="296">
        <v>6.2079999999999993</v>
      </c>
      <c r="C31" s="296">
        <v>12.072000000000001</v>
      </c>
      <c r="D31" s="296">
        <v>117.68388800000001</v>
      </c>
      <c r="E31" s="297" t="s">
        <v>628</v>
      </c>
      <c r="F31" s="295" t="s">
        <v>629</v>
      </c>
      <c r="G31" s="298" t="str">
        <f>IFERROR(VLOOKUP(F31,[2]Реестр!A:K,2,0),"")</f>
        <v/>
      </c>
      <c r="H31" s="297">
        <v>100</v>
      </c>
      <c r="I31" s="299">
        <v>27.91</v>
      </c>
      <c r="J31" s="289"/>
    </row>
    <row r="32" spans="1:12" ht="18.75" hidden="1" x14ac:dyDescent="0.3">
      <c r="A32" s="296">
        <v>8.9166666666666661</v>
      </c>
      <c r="B32" s="296">
        <v>7.75</v>
      </c>
      <c r="C32" s="296">
        <v>19.5</v>
      </c>
      <c r="D32" s="296">
        <v>185</v>
      </c>
      <c r="E32" s="297" t="s">
        <v>213</v>
      </c>
      <c r="F32" s="295" t="s">
        <v>212</v>
      </c>
      <c r="G32" s="298" t="str">
        <f>IFERROR(VLOOKUP(F32,[2]Реестр!A:K,2,0),"")</f>
        <v>300</v>
      </c>
      <c r="H32" s="300">
        <v>250</v>
      </c>
      <c r="I32" s="301">
        <v>42</v>
      </c>
      <c r="J32" s="291"/>
      <c r="K32" s="293">
        <f>I38-J32</f>
        <v>192.83999999999997</v>
      </c>
    </row>
    <row r="33" spans="1:12" ht="18.75" hidden="1" x14ac:dyDescent="0.3">
      <c r="A33" s="296">
        <v>21.712499999999999</v>
      </c>
      <c r="B33" s="296">
        <v>11.317500000000001</v>
      </c>
      <c r="C33" s="296">
        <v>38.486249999999998</v>
      </c>
      <c r="D33" s="296">
        <v>342.65249999999997</v>
      </c>
      <c r="E33" s="297" t="s">
        <v>630</v>
      </c>
      <c r="F33" s="295" t="s">
        <v>631</v>
      </c>
      <c r="G33" s="298" t="str">
        <f>IFERROR(VLOOKUP(F33,[2]Реестр!A:K,2,0),"")</f>
        <v/>
      </c>
      <c r="H33" s="300">
        <v>250</v>
      </c>
      <c r="I33" s="300">
        <v>109.55</v>
      </c>
      <c r="J33" s="284"/>
    </row>
    <row r="34" spans="1:12" ht="18.75" hidden="1" x14ac:dyDescent="0.3">
      <c r="A34" s="296">
        <v>0.2</v>
      </c>
      <c r="B34" s="296">
        <v>0</v>
      </c>
      <c r="C34" s="296">
        <v>13.7</v>
      </c>
      <c r="D34" s="296">
        <v>53</v>
      </c>
      <c r="E34" s="297" t="s">
        <v>353</v>
      </c>
      <c r="F34" s="295" t="s">
        <v>499</v>
      </c>
      <c r="G34" s="298" t="str">
        <f>IFERROR(VLOOKUP(F34,[2]Реестр!A:K,2,0),"")</f>
        <v>200</v>
      </c>
      <c r="H34" s="300">
        <v>200</v>
      </c>
      <c r="I34" s="301">
        <v>4.38</v>
      </c>
      <c r="J34" s="284"/>
    </row>
    <row r="35" spans="1:12" ht="18.75" hidden="1" x14ac:dyDescent="0.3">
      <c r="A35" s="296">
        <v>3.3</v>
      </c>
      <c r="B35" s="296">
        <v>0.3</v>
      </c>
      <c r="C35" s="296">
        <v>23.4</v>
      </c>
      <c r="D35" s="296">
        <v>112</v>
      </c>
      <c r="E35" s="297" t="s">
        <v>471</v>
      </c>
      <c r="F35" s="302" t="s">
        <v>66</v>
      </c>
      <c r="G35" s="298" t="str">
        <f>IFERROR(VLOOKUP(F35,[2]Реестр!A:K,2,0),"")</f>
        <v>100</v>
      </c>
      <c r="H35" s="300">
        <v>50</v>
      </c>
      <c r="I35" s="301">
        <v>4.5</v>
      </c>
      <c r="J35" s="284"/>
    </row>
    <row r="36" spans="1:12" ht="18.75" hidden="1" x14ac:dyDescent="0.3">
      <c r="A36" s="296">
        <v>3.3</v>
      </c>
      <c r="B36" s="296">
        <v>0.6</v>
      </c>
      <c r="C36" s="296">
        <v>16.7</v>
      </c>
      <c r="D36" s="296">
        <v>96.5</v>
      </c>
      <c r="E36" s="297" t="s">
        <v>471</v>
      </c>
      <c r="F36" s="302" t="s">
        <v>65</v>
      </c>
      <c r="G36" s="298" t="str">
        <f>IFERROR(VLOOKUP(F36,[2]Реестр!A:K,2,0),"")</f>
        <v>100</v>
      </c>
      <c r="H36" s="300">
        <v>50</v>
      </c>
      <c r="I36" s="301">
        <v>4.5</v>
      </c>
      <c r="J36" s="304"/>
    </row>
    <row r="37" spans="1:12" ht="18.75" hidden="1" x14ac:dyDescent="0.3">
      <c r="A37" s="296"/>
      <c r="B37" s="296"/>
      <c r="C37" s="296"/>
      <c r="D37" s="296"/>
      <c r="E37" s="303"/>
      <c r="F37" s="302"/>
      <c r="G37" s="298"/>
      <c r="H37" s="300"/>
      <c r="I37" s="301"/>
      <c r="J37" s="304"/>
    </row>
    <row r="38" spans="1:12" ht="18.75" hidden="1" x14ac:dyDescent="0.3">
      <c r="A38" s="505" t="s">
        <v>16</v>
      </c>
      <c r="B38" s="506"/>
      <c r="C38" s="506"/>
      <c r="D38" s="506"/>
      <c r="E38" s="506"/>
      <c r="F38" s="507"/>
      <c r="G38" s="294"/>
      <c r="H38" s="291"/>
      <c r="I38" s="288">
        <f>SUM(I31:I37)</f>
        <v>192.83999999999997</v>
      </c>
      <c r="J38" s="291">
        <v>147.79</v>
      </c>
      <c r="K38" s="293">
        <f>I38-J38</f>
        <v>45.049999999999983</v>
      </c>
    </row>
    <row r="39" spans="1:12" s="160" customFormat="1" ht="18.75" x14ac:dyDescent="0.3">
      <c r="A39" s="463" t="s">
        <v>18</v>
      </c>
      <c r="B39" s="463"/>
      <c r="C39" s="463"/>
      <c r="D39" s="463"/>
      <c r="E39" s="463"/>
      <c r="F39" s="463"/>
      <c r="G39" s="463"/>
      <c r="H39" s="463"/>
      <c r="I39" s="463"/>
      <c r="J39" s="275"/>
    </row>
    <row r="40" spans="1:12" s="160" customFormat="1" ht="18.75" x14ac:dyDescent="0.3">
      <c r="A40" s="463" t="s">
        <v>19</v>
      </c>
      <c r="B40" s="463"/>
      <c r="C40" s="463"/>
      <c r="D40" s="463"/>
      <c r="E40" s="463"/>
      <c r="F40" s="463"/>
      <c r="G40" s="463"/>
      <c r="H40" s="463"/>
      <c r="I40" s="463"/>
      <c r="J40" s="275"/>
    </row>
    <row r="41" spans="1:12" s="160" customFormat="1" ht="18.75" x14ac:dyDescent="0.3">
      <c r="A41" s="151">
        <f>IFERROR(VLOOKUP(F41,[1]Реестр!A:K,3,0)*H41/G41,"")</f>
        <v>3.8</v>
      </c>
      <c r="B41" s="151">
        <f>IFERROR(VLOOKUP(F41,[1]Реестр!A:K,4,0)*H41/G41,"")</f>
        <v>6.6</v>
      </c>
      <c r="C41" s="151">
        <f>IFERROR(VLOOKUP(F41,[1]Реестр!A:K,5,0)*H41/G41,"")</f>
        <v>9.6999999999999993</v>
      </c>
      <c r="D41" s="151">
        <f>IFERROR(VLOOKUP(F41,[1]Реестр!A:K,6,0)*H41/G41,"")</f>
        <v>116</v>
      </c>
      <c r="E41" s="152" t="str">
        <f>IFERROR(VLOOKUP(F41,[1]Реестр!A:K,11,0),"")</f>
        <v>1*58</v>
      </c>
      <c r="F41" s="161" t="s">
        <v>527</v>
      </c>
      <c r="G41" s="153" t="str">
        <f>IFERROR(VLOOKUP(F41,[1]Реестр!A:K,2,0),"")</f>
        <v>35</v>
      </c>
      <c r="H41" s="152">
        <v>35</v>
      </c>
      <c r="I41" s="150">
        <v>26.85</v>
      </c>
      <c r="J41" s="275" t="s">
        <v>20</v>
      </c>
    </row>
    <row r="42" spans="1:12" s="160" customFormat="1" ht="18.75" x14ac:dyDescent="0.3">
      <c r="A42" s="151">
        <v>9.75</v>
      </c>
      <c r="B42" s="151">
        <v>12.14</v>
      </c>
      <c r="C42" s="151">
        <v>36.06</v>
      </c>
      <c r="D42" s="151">
        <v>291.64</v>
      </c>
      <c r="E42" s="152" t="s">
        <v>133</v>
      </c>
      <c r="F42" s="326" t="s">
        <v>614</v>
      </c>
      <c r="G42" s="153" t="str">
        <f>IFERROR(VLOOKUP(F42,[1]Реестр!A:K,2,0),"")</f>
        <v/>
      </c>
      <c r="H42" s="152">
        <v>230</v>
      </c>
      <c r="I42" s="150">
        <v>38.270000000000003</v>
      </c>
      <c r="J42" s="275" t="s">
        <v>537</v>
      </c>
      <c r="K42" s="165"/>
      <c r="L42" s="165"/>
    </row>
    <row r="43" spans="1:12" s="160" customFormat="1" ht="18.75" x14ac:dyDescent="0.3">
      <c r="A43" s="151">
        <f>IFERROR(VLOOKUP(F43,[1]Реестр!A:K,3,0)*H43/G43,"")</f>
        <v>0.15</v>
      </c>
      <c r="B43" s="151">
        <f>IFERROR(VLOOKUP(F43,[1]Реестр!A:K,4,0)*H43/G43,"")</f>
        <v>0.09</v>
      </c>
      <c r="C43" s="151">
        <f>IFERROR(VLOOKUP(F43,[1]Реестр!A:K,5,0)*H43/G43,"")</f>
        <v>8.58</v>
      </c>
      <c r="D43" s="151">
        <f>IFERROR(VLOOKUP(F43,[1]Реестр!A:K,6,0)*H43/G43,"")</f>
        <v>34.799999999999997</v>
      </c>
      <c r="E43" s="152" t="str">
        <f>IFERROR(VLOOKUP(F43,[1]Реестр!A:K,11,0),"")</f>
        <v>12*2</v>
      </c>
      <c r="F43" s="277" t="s">
        <v>371</v>
      </c>
      <c r="G43" s="153" t="str">
        <f>IFERROR(VLOOKUP(F43,[1]Реестр!A:K,2,0),"")</f>
        <v>100</v>
      </c>
      <c r="H43" s="152">
        <v>30</v>
      </c>
      <c r="I43" s="150">
        <v>17.559999999999999</v>
      </c>
      <c r="J43" s="275" t="s">
        <v>477</v>
      </c>
      <c r="K43" s="165"/>
      <c r="L43" s="165"/>
    </row>
    <row r="44" spans="1:12" s="160" customFormat="1" ht="18.75" x14ac:dyDescent="0.3">
      <c r="A44" s="151">
        <f>IFERROR(VLOOKUP(F44,[1]Реестр!A:K,3,0)*H44/G44,"")</f>
        <v>3.6</v>
      </c>
      <c r="B44" s="151">
        <f>IFERROR(VLOOKUP(F44,[1]Реестр!A:K,4,0)*H44/G44,"")</f>
        <v>2.7</v>
      </c>
      <c r="C44" s="151">
        <f>IFERROR(VLOOKUP(F44,[1]Реестр!A:K,5,0)*H44/G44,"")</f>
        <v>22.9</v>
      </c>
      <c r="D44" s="151">
        <f>IFERROR(VLOOKUP(F44,[1]Реестр!A:K,6,0)*H44/G44,"")</f>
        <v>127</v>
      </c>
      <c r="E44" s="152" t="str">
        <f>IFERROR(VLOOKUP(F44,[1]Реестр!A:K,11,0),"")</f>
        <v>11*51</v>
      </c>
      <c r="F44" s="277" t="s">
        <v>342</v>
      </c>
      <c r="G44" s="153">
        <f>IFERROR(VLOOKUP(F44,[1]Реестр!A:K,2,0),"")</f>
        <v>200</v>
      </c>
      <c r="H44" s="149">
        <v>200</v>
      </c>
      <c r="I44" s="150">
        <v>24.16</v>
      </c>
      <c r="J44" s="275" t="s">
        <v>479</v>
      </c>
      <c r="K44" s="165"/>
      <c r="L44" s="165"/>
    </row>
    <row r="45" spans="1:12" s="160" customFormat="1" ht="18.75" x14ac:dyDescent="0.3">
      <c r="A45" s="151">
        <f>IFERROR(VLOOKUP(F45,[1]Реестр!A:K,3,0)*H45/G45,"")</f>
        <v>1.32</v>
      </c>
      <c r="B45" s="151">
        <f>IFERROR(VLOOKUP(F45,[1]Реестр!A:K,4,0)*H45/G45,"")</f>
        <v>0.24</v>
      </c>
      <c r="C45" s="151">
        <f>IFERROR(VLOOKUP(F45,[1]Реестр!A:K,5,0)*H45/G45,"")</f>
        <v>6.68</v>
      </c>
      <c r="D45" s="151">
        <f>IFERROR(VLOOKUP(F45,[1]Реестр!A:K,6,0)*H45/G45,"")</f>
        <v>38.6</v>
      </c>
      <c r="E45" s="152" t="str">
        <f>IFERROR(VLOOKUP(F45,[1]Реестр!A:K,11,0),"")</f>
        <v>-</v>
      </c>
      <c r="F45" s="162" t="s">
        <v>65</v>
      </c>
      <c r="G45" s="153" t="str">
        <f>IFERROR(VLOOKUP(F45,[1]Реестр!A:K,2,0),"")</f>
        <v>100</v>
      </c>
      <c r="H45" s="149">
        <v>20</v>
      </c>
      <c r="I45" s="150">
        <v>1.8</v>
      </c>
      <c r="J45" s="275" t="s">
        <v>475</v>
      </c>
      <c r="K45" s="166"/>
      <c r="L45" s="165"/>
    </row>
    <row r="46" spans="1:12" s="160" customFormat="1" ht="18.75" x14ac:dyDescent="0.3">
      <c r="A46" s="501" t="s">
        <v>25</v>
      </c>
      <c r="B46" s="502"/>
      <c r="C46" s="502"/>
      <c r="D46" s="502"/>
      <c r="E46" s="502"/>
      <c r="F46" s="502"/>
      <c r="G46" s="502"/>
      <c r="H46" s="502"/>
      <c r="I46" s="503"/>
      <c r="J46" s="275"/>
    </row>
    <row r="47" spans="1:12" s="158" customFormat="1" ht="18.75" x14ac:dyDescent="0.25">
      <c r="A47" s="273">
        <v>14.01</v>
      </c>
      <c r="B47" s="189">
        <v>6.2079999999999993</v>
      </c>
      <c r="C47" s="189">
        <v>12.072000000000001</v>
      </c>
      <c r="D47" s="189">
        <v>117.68388800000001</v>
      </c>
      <c r="E47" s="190" t="s">
        <v>628</v>
      </c>
      <c r="F47" s="273" t="s">
        <v>629</v>
      </c>
      <c r="G47" s="191" t="str">
        <f>IFERROR(VLOOKUP(F47,[2]Реестр!A:K,2,0),"")</f>
        <v/>
      </c>
      <c r="H47" s="190">
        <v>80</v>
      </c>
      <c r="I47" s="274">
        <v>21.73</v>
      </c>
      <c r="J47" s="179" t="s">
        <v>538</v>
      </c>
    </row>
    <row r="48" spans="1:12" s="160" customFormat="1" ht="18.75" x14ac:dyDescent="0.3">
      <c r="A48" s="189">
        <v>8.9166666666666661</v>
      </c>
      <c r="B48" s="189">
        <v>7.75</v>
      </c>
      <c r="C48" s="189">
        <v>19.5</v>
      </c>
      <c r="D48" s="189">
        <v>185</v>
      </c>
      <c r="E48" s="190" t="s">
        <v>213</v>
      </c>
      <c r="F48" s="273" t="s">
        <v>212</v>
      </c>
      <c r="G48" s="191" t="str">
        <f>IFERROR(VLOOKUP(F48,[2]Реестр!A:K,2,0),"")</f>
        <v>300</v>
      </c>
      <c r="H48" s="192">
        <v>250</v>
      </c>
      <c r="I48" s="193">
        <v>42</v>
      </c>
      <c r="J48" s="275" t="s">
        <v>478</v>
      </c>
    </row>
    <row r="49" spans="1:11" s="160" customFormat="1" ht="18.75" x14ac:dyDescent="0.3">
      <c r="A49" s="189">
        <v>17.37</v>
      </c>
      <c r="B49" s="189">
        <v>9.0540000000000003</v>
      </c>
      <c r="C49" s="189">
        <v>30.789000000000001</v>
      </c>
      <c r="D49" s="189">
        <v>274.12200000000001</v>
      </c>
      <c r="E49" s="190" t="s">
        <v>630</v>
      </c>
      <c r="F49" s="273" t="s">
        <v>631</v>
      </c>
      <c r="G49" s="191" t="str">
        <f>IFERROR(VLOOKUP(F49,[2]Реестр!A:K,2,0),"")</f>
        <v/>
      </c>
      <c r="H49" s="192">
        <v>200</v>
      </c>
      <c r="I49" s="192">
        <v>87.64</v>
      </c>
      <c r="J49" s="275" t="s">
        <v>537</v>
      </c>
    </row>
    <row r="50" spans="1:11" s="160" customFormat="1" ht="18.75" x14ac:dyDescent="0.3">
      <c r="A50" s="189">
        <v>0.2</v>
      </c>
      <c r="B50" s="189">
        <v>0</v>
      </c>
      <c r="C50" s="189">
        <v>13.7</v>
      </c>
      <c r="D50" s="189">
        <v>53</v>
      </c>
      <c r="E50" s="190" t="s">
        <v>353</v>
      </c>
      <c r="F50" s="273" t="s">
        <v>499</v>
      </c>
      <c r="G50" s="191" t="str">
        <f>IFERROR(VLOOKUP(F50,[2]Реестр!A:K,2,0),"")</f>
        <v>200</v>
      </c>
      <c r="H50" s="192">
        <v>200</v>
      </c>
      <c r="I50" s="193">
        <v>4.38</v>
      </c>
      <c r="J50" s="275" t="s">
        <v>29</v>
      </c>
    </row>
    <row r="51" spans="1:11" s="160" customFormat="1" ht="18.75" x14ac:dyDescent="0.3">
      <c r="A51" s="189">
        <v>2.64</v>
      </c>
      <c r="B51" s="189">
        <v>0.24</v>
      </c>
      <c r="C51" s="189">
        <v>18.72</v>
      </c>
      <c r="D51" s="189">
        <v>89.6</v>
      </c>
      <c r="E51" s="190" t="s">
        <v>471</v>
      </c>
      <c r="F51" s="194" t="s">
        <v>66</v>
      </c>
      <c r="G51" s="191" t="str">
        <f>IFERROR(VLOOKUP(F51,[2]Реестр!A:K,2,0),"")</f>
        <v>100</v>
      </c>
      <c r="H51" s="192">
        <v>40</v>
      </c>
      <c r="I51" s="193">
        <v>3.6</v>
      </c>
      <c r="J51" s="275" t="s">
        <v>479</v>
      </c>
    </row>
    <row r="52" spans="1:11" s="160" customFormat="1" ht="18.75" x14ac:dyDescent="0.3">
      <c r="A52" s="189">
        <v>2.64</v>
      </c>
      <c r="B52" s="189">
        <v>0.48</v>
      </c>
      <c r="C52" s="189">
        <v>13.36</v>
      </c>
      <c r="D52" s="189">
        <v>77.2</v>
      </c>
      <c r="E52" s="190" t="s">
        <v>471</v>
      </c>
      <c r="F52" s="194" t="s">
        <v>65</v>
      </c>
      <c r="G52" s="191" t="str">
        <f>IFERROR(VLOOKUP(F52,[2]Реестр!A:K,2,0),"")</f>
        <v>100</v>
      </c>
      <c r="H52" s="192">
        <v>40</v>
      </c>
      <c r="I52" s="193">
        <v>3.6</v>
      </c>
      <c r="J52" s="275" t="s">
        <v>539</v>
      </c>
    </row>
    <row r="53" spans="1:11" s="160" customFormat="1" ht="18.75" x14ac:dyDescent="0.3">
      <c r="A53" s="189"/>
      <c r="B53" s="189"/>
      <c r="C53" s="189"/>
      <c r="D53" s="189"/>
      <c r="E53" s="195"/>
      <c r="F53" s="194"/>
      <c r="G53" s="191"/>
      <c r="H53" s="192"/>
      <c r="I53" s="193"/>
      <c r="J53" s="275" t="s">
        <v>540</v>
      </c>
    </row>
    <row r="54" spans="1:11" s="160" customFormat="1" ht="18.75" x14ac:dyDescent="0.3">
      <c r="A54" s="494" t="s">
        <v>16</v>
      </c>
      <c r="B54" s="494"/>
      <c r="C54" s="494"/>
      <c r="D54" s="494"/>
      <c r="E54" s="494"/>
      <c r="F54" s="494"/>
      <c r="G54" s="149"/>
      <c r="H54" s="149"/>
      <c r="I54" s="150">
        <f>SUM(I41:I45,I47:I53)</f>
        <v>271.59000000000003</v>
      </c>
      <c r="J54" s="149">
        <v>212.99</v>
      </c>
      <c r="K54" s="163">
        <f>I54-J54</f>
        <v>58.600000000000023</v>
      </c>
    </row>
    <row r="55" spans="1:11" s="160" customFormat="1" ht="18.75" x14ac:dyDescent="0.3">
      <c r="A55" s="501" t="s">
        <v>33</v>
      </c>
      <c r="B55" s="502"/>
      <c r="C55" s="502"/>
      <c r="D55" s="502"/>
      <c r="E55" s="502"/>
      <c r="F55" s="502"/>
      <c r="G55" s="502"/>
      <c r="H55" s="502"/>
      <c r="I55" s="503"/>
      <c r="J55" s="275"/>
    </row>
    <row r="56" spans="1:11" s="160" customFormat="1" ht="18.75" x14ac:dyDescent="0.3">
      <c r="A56" s="501" t="s">
        <v>19</v>
      </c>
      <c r="B56" s="502"/>
      <c r="C56" s="502"/>
      <c r="D56" s="502"/>
      <c r="E56" s="502"/>
      <c r="F56" s="502"/>
      <c r="G56" s="502"/>
      <c r="H56" s="502"/>
      <c r="I56" s="503"/>
      <c r="J56" s="275"/>
    </row>
    <row r="57" spans="1:11" s="160" customFormat="1" ht="18.75" x14ac:dyDescent="0.3">
      <c r="A57" s="151">
        <f>IFERROR(VLOOKUP(F57,[1]Реестр!A:K,3,0)*H57/G57,"")</f>
        <v>5.08</v>
      </c>
      <c r="B57" s="151">
        <f>IFERROR(VLOOKUP(F57,[1]Реестр!A:K,4,0)*H57/G57,"")</f>
        <v>11.55</v>
      </c>
      <c r="C57" s="151">
        <f>IFERROR(VLOOKUP(F57,[1]Реестр!A:K,5,0)*H57/G57,"")</f>
        <v>9.9700000000000006</v>
      </c>
      <c r="D57" s="151">
        <f>IFERROR(VLOOKUP(F57,[1]Реестр!A:K,6,0)*H57/G57,"")</f>
        <v>164.15</v>
      </c>
      <c r="E57" s="152" t="str">
        <f>IFERROR(VLOOKUP(F57,[1]Реестр!A:K,11,0),"")</f>
        <v>1*51</v>
      </c>
      <c r="F57" s="277" t="s">
        <v>91</v>
      </c>
      <c r="G57" s="153" t="str">
        <f>IFERROR(VLOOKUP(F57,[1]Реестр!A:K,2,0),"")</f>
        <v>45</v>
      </c>
      <c r="H57" s="149">
        <v>45</v>
      </c>
      <c r="I57" s="150">
        <v>35.799999999999997</v>
      </c>
      <c r="J57" s="275" t="s">
        <v>20</v>
      </c>
    </row>
    <row r="58" spans="1:11" s="160" customFormat="1" ht="18.75" x14ac:dyDescent="0.3">
      <c r="A58" s="151">
        <v>9.75</v>
      </c>
      <c r="B58" s="151">
        <v>12.14</v>
      </c>
      <c r="C58" s="151">
        <v>36.06</v>
      </c>
      <c r="D58" s="151">
        <v>291.64</v>
      </c>
      <c r="E58" s="152" t="s">
        <v>133</v>
      </c>
      <c r="F58" s="326" t="s">
        <v>614</v>
      </c>
      <c r="G58" s="153" t="str">
        <f>IFERROR(VLOOKUP(F58,[1]Реестр!A:K,2,0),"")</f>
        <v/>
      </c>
      <c r="H58" s="152">
        <v>250</v>
      </c>
      <c r="I58" s="150">
        <v>41.59</v>
      </c>
      <c r="J58" s="275" t="s">
        <v>537</v>
      </c>
    </row>
    <row r="59" spans="1:11" s="160" customFormat="1" ht="18.75" x14ac:dyDescent="0.3">
      <c r="A59" s="151">
        <f>IFERROR(VLOOKUP(F59,[1]Реестр!A:K,3,0)*H59/G59,"")</f>
        <v>0.2</v>
      </c>
      <c r="B59" s="151">
        <f>IFERROR(VLOOKUP(F59,[1]Реестр!A:K,4,0)*H59/G59,"")</f>
        <v>0.12</v>
      </c>
      <c r="C59" s="151">
        <f>IFERROR(VLOOKUP(F59,[1]Реестр!A:K,5,0)*H59/G59,"")</f>
        <v>11.44</v>
      </c>
      <c r="D59" s="151">
        <f>IFERROR(VLOOKUP(F59,[1]Реестр!A:K,6,0)*H59/G59,"")</f>
        <v>46.4</v>
      </c>
      <c r="E59" s="152" t="str">
        <f>IFERROR(VLOOKUP(F59,[1]Реестр!A:K,11,0),"")</f>
        <v>12*2</v>
      </c>
      <c r="F59" s="277" t="s">
        <v>371</v>
      </c>
      <c r="G59" s="153" t="str">
        <f>IFERROR(VLOOKUP(F59,[1]Реестр!A:K,2,0),"")</f>
        <v>100</v>
      </c>
      <c r="H59" s="152">
        <v>40</v>
      </c>
      <c r="I59" s="150">
        <v>23.41</v>
      </c>
      <c r="J59" s="275" t="s">
        <v>477</v>
      </c>
    </row>
    <row r="60" spans="1:11" s="160" customFormat="1" ht="18.75" x14ac:dyDescent="0.3">
      <c r="A60" s="151">
        <f>IFERROR(VLOOKUP(F60,[1]Реестр!A:K,3,0)*H60/G60,"")</f>
        <v>3.6</v>
      </c>
      <c r="B60" s="151">
        <f>IFERROR(VLOOKUP(F60,[1]Реестр!A:K,4,0)*H60/G60,"")</f>
        <v>2.7</v>
      </c>
      <c r="C60" s="151">
        <f>IFERROR(VLOOKUP(F60,[1]Реестр!A:K,5,0)*H60/G60,"")</f>
        <v>22.9</v>
      </c>
      <c r="D60" s="151">
        <f>IFERROR(VLOOKUP(F60,[1]Реестр!A:K,6,0)*H60/G60,"")</f>
        <v>127</v>
      </c>
      <c r="E60" s="152" t="str">
        <f>IFERROR(VLOOKUP(F60,[1]Реестр!A:K,11,0),"")</f>
        <v>11*51</v>
      </c>
      <c r="F60" s="277" t="s">
        <v>342</v>
      </c>
      <c r="G60" s="153">
        <f>IFERROR(VLOOKUP(F60,[1]Реестр!A:K,2,0),"")</f>
        <v>200</v>
      </c>
      <c r="H60" s="149">
        <v>200</v>
      </c>
      <c r="I60" s="150">
        <v>24.16</v>
      </c>
      <c r="J60" s="275" t="s">
        <v>541</v>
      </c>
      <c r="K60" s="165"/>
    </row>
    <row r="61" spans="1:11" s="160" customFormat="1" ht="18.75" x14ac:dyDescent="0.3">
      <c r="A61" s="151">
        <f>IFERROR(VLOOKUP(F61,[1]Реестр!A:K,3,0)*H61/G61,"")</f>
        <v>2.64</v>
      </c>
      <c r="B61" s="151">
        <f>IFERROR(VLOOKUP(F61,[1]Реестр!A:K,4,0)*H61/G61,"")</f>
        <v>0.48</v>
      </c>
      <c r="C61" s="151">
        <f>IFERROR(VLOOKUP(F61,[1]Реестр!A:K,5,0)*H61/G61,"")</f>
        <v>13.36</v>
      </c>
      <c r="D61" s="151">
        <f>IFERROR(VLOOKUP(F61,[1]Реестр!A:K,6,0)*H61/G61,"")</f>
        <v>77.2</v>
      </c>
      <c r="E61" s="152" t="str">
        <f>IFERROR(VLOOKUP(F61,[1]Реестр!A:K,11,0),"")</f>
        <v>-</v>
      </c>
      <c r="F61" s="162" t="s">
        <v>65</v>
      </c>
      <c r="G61" s="153" t="str">
        <f>IFERROR(VLOOKUP(F61,[1]Реестр!A:K,2,0),"")</f>
        <v>100</v>
      </c>
      <c r="H61" s="149">
        <v>40</v>
      </c>
      <c r="I61" s="150">
        <v>3.6</v>
      </c>
      <c r="J61" s="275" t="s">
        <v>475</v>
      </c>
      <c r="K61" s="165"/>
    </row>
    <row r="62" spans="1:11" s="160" customFormat="1" ht="18.75" x14ac:dyDescent="0.3">
      <c r="A62" s="501" t="s">
        <v>25</v>
      </c>
      <c r="B62" s="502"/>
      <c r="C62" s="502"/>
      <c r="D62" s="502"/>
      <c r="E62" s="502"/>
      <c r="F62" s="502"/>
      <c r="G62" s="502"/>
      <c r="H62" s="502"/>
      <c r="I62" s="503"/>
      <c r="J62" s="178" t="str">
        <f>IFERROR(VLOOKUP(O62,Реестр!#REF!,3,0)*Q62/P62,"")</f>
        <v/>
      </c>
      <c r="K62" s="165"/>
    </row>
    <row r="63" spans="1:11" s="158" customFormat="1" ht="18.75" x14ac:dyDescent="0.25">
      <c r="A63" s="273">
        <v>14.01</v>
      </c>
      <c r="B63" s="189">
        <v>6.2079999999999993</v>
      </c>
      <c r="C63" s="189">
        <v>12.072000000000001</v>
      </c>
      <c r="D63" s="189">
        <v>117.68388800000001</v>
      </c>
      <c r="E63" s="190" t="s">
        <v>628</v>
      </c>
      <c r="F63" s="273" t="s">
        <v>629</v>
      </c>
      <c r="G63" s="191" t="str">
        <f>IFERROR(VLOOKUP(F63,[2]Реестр!A:K,2,0),"")</f>
        <v/>
      </c>
      <c r="H63" s="190">
        <v>100</v>
      </c>
      <c r="I63" s="274">
        <v>27.91</v>
      </c>
      <c r="J63" s="179" t="s">
        <v>538</v>
      </c>
      <c r="K63" s="167"/>
    </row>
    <row r="64" spans="1:11" s="160" customFormat="1" ht="18.75" x14ac:dyDescent="0.3">
      <c r="A64" s="189">
        <v>8.9166666666666661</v>
      </c>
      <c r="B64" s="189">
        <v>7.75</v>
      </c>
      <c r="C64" s="189">
        <v>19.5</v>
      </c>
      <c r="D64" s="189">
        <v>185</v>
      </c>
      <c r="E64" s="190" t="s">
        <v>213</v>
      </c>
      <c r="F64" s="273" t="s">
        <v>212</v>
      </c>
      <c r="G64" s="191" t="str">
        <f>IFERROR(VLOOKUP(F64,[2]Реестр!A:K,2,0),"")</f>
        <v>300</v>
      </c>
      <c r="H64" s="192">
        <v>250</v>
      </c>
      <c r="I64" s="193">
        <v>42</v>
      </c>
      <c r="J64" s="275" t="s">
        <v>478</v>
      </c>
      <c r="K64" s="165"/>
    </row>
    <row r="65" spans="1:12" s="160" customFormat="1" ht="18.75" x14ac:dyDescent="0.3">
      <c r="A65" s="189">
        <v>21.712499999999999</v>
      </c>
      <c r="B65" s="189">
        <v>11.317500000000001</v>
      </c>
      <c r="C65" s="189">
        <v>38.486249999999998</v>
      </c>
      <c r="D65" s="189">
        <v>342.65249999999997</v>
      </c>
      <c r="E65" s="190" t="s">
        <v>630</v>
      </c>
      <c r="F65" s="273" t="s">
        <v>631</v>
      </c>
      <c r="G65" s="191" t="str">
        <f>IFERROR(VLOOKUP(F65,[2]Реестр!A:K,2,0),"")</f>
        <v/>
      </c>
      <c r="H65" s="192">
        <v>250</v>
      </c>
      <c r="I65" s="192">
        <v>109.55</v>
      </c>
      <c r="J65" s="275" t="s">
        <v>537</v>
      </c>
      <c r="K65" s="165"/>
    </row>
    <row r="66" spans="1:12" s="160" customFormat="1" ht="18.75" x14ac:dyDescent="0.3">
      <c r="A66" s="189">
        <v>0.2</v>
      </c>
      <c r="B66" s="189">
        <v>0</v>
      </c>
      <c r="C66" s="189">
        <v>13.7</v>
      </c>
      <c r="D66" s="189">
        <v>53</v>
      </c>
      <c r="E66" s="190" t="s">
        <v>353</v>
      </c>
      <c r="F66" s="273" t="s">
        <v>499</v>
      </c>
      <c r="G66" s="191" t="str">
        <f>IFERROR(VLOOKUP(F66,[2]Реестр!A:K,2,0),"")</f>
        <v>200</v>
      </c>
      <c r="H66" s="192">
        <v>200</v>
      </c>
      <c r="I66" s="193">
        <v>4.38</v>
      </c>
      <c r="J66" s="275" t="s">
        <v>29</v>
      </c>
      <c r="K66" s="165"/>
    </row>
    <row r="67" spans="1:12" s="160" customFormat="1" ht="18.75" x14ac:dyDescent="0.3">
      <c r="A67" s="189">
        <v>3.3</v>
      </c>
      <c r="B67" s="189">
        <v>0.3</v>
      </c>
      <c r="C67" s="189">
        <v>23.4</v>
      </c>
      <c r="D67" s="189">
        <v>112</v>
      </c>
      <c r="E67" s="190" t="s">
        <v>471</v>
      </c>
      <c r="F67" s="194" t="s">
        <v>66</v>
      </c>
      <c r="G67" s="191" t="str">
        <f>IFERROR(VLOOKUP(F67,[2]Реестр!A:K,2,0),"")</f>
        <v>100</v>
      </c>
      <c r="H67" s="192">
        <v>50</v>
      </c>
      <c r="I67" s="193">
        <v>4.5</v>
      </c>
      <c r="J67" s="275" t="s">
        <v>479</v>
      </c>
      <c r="K67" s="163"/>
    </row>
    <row r="68" spans="1:12" s="160" customFormat="1" ht="18.75" x14ac:dyDescent="0.3">
      <c r="A68" s="189">
        <v>3.3</v>
      </c>
      <c r="B68" s="189">
        <v>0.6</v>
      </c>
      <c r="C68" s="189">
        <v>16.7</v>
      </c>
      <c r="D68" s="189">
        <v>96.5</v>
      </c>
      <c r="E68" s="190" t="s">
        <v>471</v>
      </c>
      <c r="F68" s="194" t="s">
        <v>65</v>
      </c>
      <c r="G68" s="191" t="str">
        <f>IFERROR(VLOOKUP(F68,[2]Реестр!A:K,2,0),"")</f>
        <v>100</v>
      </c>
      <c r="H68" s="192">
        <v>50</v>
      </c>
      <c r="I68" s="193">
        <v>4.5</v>
      </c>
      <c r="J68" s="275" t="s">
        <v>23</v>
      </c>
    </row>
    <row r="69" spans="1:12" s="160" customFormat="1" ht="18.75" x14ac:dyDescent="0.3">
      <c r="A69" s="189"/>
      <c r="B69" s="189"/>
      <c r="C69" s="189"/>
      <c r="D69" s="189"/>
      <c r="E69" s="195"/>
      <c r="F69" s="194"/>
      <c r="G69" s="191"/>
      <c r="H69" s="192"/>
      <c r="I69" s="193"/>
      <c r="J69" s="275" t="s">
        <v>540</v>
      </c>
    </row>
    <row r="70" spans="1:12" s="160" customFormat="1" ht="18" customHeight="1" x14ac:dyDescent="0.3">
      <c r="A70" s="494" t="s">
        <v>16</v>
      </c>
      <c r="B70" s="494"/>
      <c r="C70" s="494"/>
      <c r="D70" s="494"/>
      <c r="E70" s="494"/>
      <c r="F70" s="494"/>
      <c r="G70" s="149"/>
      <c r="H70" s="149"/>
      <c r="I70" s="150">
        <f>SUM(I57:I61)+SUM(I63:I69)</f>
        <v>321.39999999999998</v>
      </c>
      <c r="J70" s="178">
        <v>246.31</v>
      </c>
      <c r="K70" s="163">
        <f>J70-I70</f>
        <v>-75.089999999999975</v>
      </c>
    </row>
    <row r="71" spans="1:12" s="160" customFormat="1" ht="18.75" x14ac:dyDescent="0.3">
      <c r="A71" s="501" t="s">
        <v>34</v>
      </c>
      <c r="B71" s="502"/>
      <c r="C71" s="502"/>
      <c r="D71" s="502"/>
      <c r="E71" s="502"/>
      <c r="F71" s="502"/>
      <c r="G71" s="502"/>
      <c r="H71" s="502"/>
      <c r="I71" s="503"/>
      <c r="J71" s="149"/>
      <c r="K71" s="163"/>
    </row>
    <row r="72" spans="1:12" s="160" customFormat="1" ht="18.75" x14ac:dyDescent="0.25">
      <c r="A72" s="151">
        <v>20.9</v>
      </c>
      <c r="B72" s="151">
        <v>3.6</v>
      </c>
      <c r="C72" s="151">
        <v>6.6</v>
      </c>
      <c r="D72" s="151">
        <v>114</v>
      </c>
      <c r="E72" s="152" t="s">
        <v>626</v>
      </c>
      <c r="F72" s="326" t="s">
        <v>627</v>
      </c>
      <c r="G72" s="153" t="str">
        <f>IFERROR(VLOOKUP(F72,[1]Реестр!A:K,2,0),"")</f>
        <v/>
      </c>
      <c r="H72" s="152">
        <v>30</v>
      </c>
      <c r="I72" s="157">
        <v>7.43</v>
      </c>
      <c r="J72" s="180"/>
    </row>
    <row r="73" spans="1:12" s="160" customFormat="1" ht="18.75" x14ac:dyDescent="0.3">
      <c r="A73" s="189">
        <v>21.712499999999999</v>
      </c>
      <c r="B73" s="189">
        <v>11.317500000000001</v>
      </c>
      <c r="C73" s="189">
        <v>38.486249999999998</v>
      </c>
      <c r="D73" s="189">
        <v>342.65249999999997</v>
      </c>
      <c r="E73" s="190" t="s">
        <v>630</v>
      </c>
      <c r="F73" s="273" t="s">
        <v>631</v>
      </c>
      <c r="G73" s="191" t="str">
        <f>IFERROR(VLOOKUP(F73,[2]Реестр!A:K,2,0),"")</f>
        <v/>
      </c>
      <c r="H73" s="192">
        <v>250</v>
      </c>
      <c r="I73" s="192">
        <v>109.55</v>
      </c>
      <c r="J73" s="180"/>
    </row>
    <row r="74" spans="1:12" s="160" customFormat="1" ht="18.75" x14ac:dyDescent="0.3">
      <c r="A74" s="189">
        <v>0.2</v>
      </c>
      <c r="B74" s="189">
        <v>0</v>
      </c>
      <c r="C74" s="189">
        <v>13.7</v>
      </c>
      <c r="D74" s="189">
        <v>53</v>
      </c>
      <c r="E74" s="190" t="s">
        <v>353</v>
      </c>
      <c r="F74" s="273" t="s">
        <v>499</v>
      </c>
      <c r="G74" s="191" t="str">
        <f>IFERROR(VLOOKUP(F74,[2]Реестр!A:K,2,0),"")</f>
        <v>200</v>
      </c>
      <c r="H74" s="192">
        <v>200</v>
      </c>
      <c r="I74" s="193">
        <v>4.38</v>
      </c>
      <c r="J74" s="180"/>
    </row>
    <row r="75" spans="1:12" s="160" customFormat="1" ht="18.75" x14ac:dyDescent="0.3">
      <c r="A75" s="189">
        <v>2.64</v>
      </c>
      <c r="B75" s="189">
        <v>0.24</v>
      </c>
      <c r="C75" s="189">
        <v>18.72</v>
      </c>
      <c r="D75" s="189">
        <v>89.6</v>
      </c>
      <c r="E75" s="190" t="s">
        <v>471</v>
      </c>
      <c r="F75" s="194" t="s">
        <v>66</v>
      </c>
      <c r="G75" s="191" t="str">
        <f>IFERROR(VLOOKUP(F75,[2]Реестр!A:K,2,0),"")</f>
        <v>100</v>
      </c>
      <c r="H75" s="192">
        <v>40</v>
      </c>
      <c r="I75" s="193">
        <v>3.6</v>
      </c>
      <c r="J75" s="180"/>
    </row>
    <row r="76" spans="1:12" s="160" customFormat="1" ht="18.75" x14ac:dyDescent="0.3">
      <c r="A76" s="189">
        <v>2.64</v>
      </c>
      <c r="B76" s="189">
        <v>0.48</v>
      </c>
      <c r="C76" s="189">
        <v>13.36</v>
      </c>
      <c r="D76" s="189">
        <v>77.2</v>
      </c>
      <c r="E76" s="190" t="s">
        <v>471</v>
      </c>
      <c r="F76" s="194" t="s">
        <v>65</v>
      </c>
      <c r="G76" s="191" t="str">
        <f>IFERROR(VLOOKUP(F76,[2]Реестр!A:K,2,0),"")</f>
        <v>100</v>
      </c>
      <c r="H76" s="192">
        <v>40</v>
      </c>
      <c r="I76" s="193">
        <v>3.6</v>
      </c>
      <c r="J76" s="180"/>
    </row>
    <row r="77" spans="1:12" s="160" customFormat="1" ht="18.75" x14ac:dyDescent="0.3">
      <c r="A77" s="189"/>
      <c r="B77" s="189"/>
      <c r="C77" s="189"/>
      <c r="D77" s="189"/>
      <c r="E77" s="190"/>
      <c r="F77" s="194"/>
      <c r="G77" s="191"/>
      <c r="H77" s="192"/>
      <c r="I77" s="193"/>
      <c r="J77" s="180"/>
    </row>
    <row r="78" spans="1:12" s="160" customFormat="1" ht="18.75" x14ac:dyDescent="0.3">
      <c r="A78" s="498" t="s">
        <v>16</v>
      </c>
      <c r="B78" s="499"/>
      <c r="C78" s="499"/>
      <c r="D78" s="499"/>
      <c r="E78" s="499"/>
      <c r="F78" s="500"/>
      <c r="G78" s="164"/>
      <c r="H78" s="149"/>
      <c r="I78" s="150">
        <f>SUM(I72:I77)</f>
        <v>128.55999999999997</v>
      </c>
      <c r="J78" s="180">
        <v>98.52</v>
      </c>
      <c r="L78" s="163">
        <f>J78-I78</f>
        <v>-30.039999999999978</v>
      </c>
    </row>
    <row r="79" spans="1:12" s="160" customFormat="1" ht="18.75" x14ac:dyDescent="0.25">
      <c r="A79" s="520" t="s">
        <v>35</v>
      </c>
      <c r="B79" s="521"/>
      <c r="C79" s="521"/>
      <c r="D79" s="521"/>
      <c r="E79" s="521"/>
      <c r="F79" s="521"/>
      <c r="G79" s="521"/>
      <c r="H79" s="521"/>
      <c r="I79" s="522"/>
      <c r="J79" s="180"/>
    </row>
    <row r="80" spans="1:12" s="160" customFormat="1" ht="18.75" x14ac:dyDescent="0.3">
      <c r="A80" s="168">
        <v>7.7</v>
      </c>
      <c r="B80" s="168">
        <v>7.42</v>
      </c>
      <c r="C80" s="168">
        <v>32.090000000000003</v>
      </c>
      <c r="D80" s="168">
        <v>225.88</v>
      </c>
      <c r="E80" s="169" t="s">
        <v>408</v>
      </c>
      <c r="F80" s="277" t="s">
        <v>605</v>
      </c>
      <c r="G80" s="153" t="str">
        <f>IFERROR(VLOOKUP(F80,[2]Реестр!A:K,2,0),"")</f>
        <v/>
      </c>
      <c r="H80" s="149">
        <v>100</v>
      </c>
      <c r="I80" s="150">
        <v>42</v>
      </c>
      <c r="J80" s="180"/>
      <c r="K80" s="163"/>
    </row>
    <row r="81" spans="1:12" s="160" customFormat="1" ht="18.75" x14ac:dyDescent="0.3">
      <c r="A81" s="498" t="s">
        <v>16</v>
      </c>
      <c r="B81" s="499"/>
      <c r="C81" s="499"/>
      <c r="D81" s="499"/>
      <c r="E81" s="499"/>
      <c r="F81" s="500"/>
      <c r="G81" s="164"/>
      <c r="H81" s="149"/>
      <c r="I81" s="150">
        <f>I80</f>
        <v>42</v>
      </c>
      <c r="J81" s="180">
        <v>29</v>
      </c>
    </row>
    <row r="82" spans="1:12" s="160" customFormat="1" ht="18.75" x14ac:dyDescent="0.3">
      <c r="A82" s="501" t="s">
        <v>36</v>
      </c>
      <c r="B82" s="502"/>
      <c r="C82" s="502"/>
      <c r="D82" s="502"/>
      <c r="E82" s="502"/>
      <c r="F82" s="502"/>
      <c r="G82" s="502"/>
      <c r="H82" s="502"/>
      <c r="I82" s="503"/>
      <c r="J82" s="180"/>
    </row>
    <row r="83" spans="1:12" s="160" customFormat="1" ht="18.75" x14ac:dyDescent="0.3">
      <c r="A83" s="189">
        <v>8.9166666666666661</v>
      </c>
      <c r="B83" s="189">
        <v>7.75</v>
      </c>
      <c r="C83" s="189">
        <v>19.5</v>
      </c>
      <c r="D83" s="189">
        <v>185</v>
      </c>
      <c r="E83" s="190" t="s">
        <v>213</v>
      </c>
      <c r="F83" s="273" t="s">
        <v>212</v>
      </c>
      <c r="G83" s="153" t="str">
        <f>IFERROR(VLOOKUP(F83,[2]Реестр!A:K,2,0),"")</f>
        <v>300</v>
      </c>
      <c r="H83" s="149">
        <v>250</v>
      </c>
      <c r="I83" s="150">
        <v>42</v>
      </c>
      <c r="J83" s="180"/>
    </row>
    <row r="84" spans="1:12" s="160" customFormat="1" ht="18.75" x14ac:dyDescent="0.3">
      <c r="A84" s="498" t="s">
        <v>16</v>
      </c>
      <c r="B84" s="499"/>
      <c r="C84" s="499"/>
      <c r="D84" s="499"/>
      <c r="E84" s="499"/>
      <c r="F84" s="500"/>
      <c r="G84" s="164"/>
      <c r="H84" s="149"/>
      <c r="I84" s="150">
        <f>SUM(I83:I83)</f>
        <v>42</v>
      </c>
      <c r="J84" s="180">
        <v>27</v>
      </c>
    </row>
    <row r="85" spans="1:12" ht="18.75" hidden="1" x14ac:dyDescent="0.3">
      <c r="A85" s="523" t="s">
        <v>503</v>
      </c>
      <c r="B85" s="524"/>
      <c r="C85" s="524"/>
      <c r="D85" s="524"/>
      <c r="E85" s="524"/>
      <c r="F85" s="524"/>
      <c r="G85" s="524"/>
      <c r="H85" s="524"/>
      <c r="I85" s="525"/>
    </row>
    <row r="86" spans="1:12" s="282" customFormat="1" ht="27" hidden="1" customHeight="1" x14ac:dyDescent="0.25">
      <c r="A86" s="295">
        <v>14.01</v>
      </c>
      <c r="B86" s="296">
        <v>6.2079999999999993</v>
      </c>
      <c r="C86" s="296">
        <v>12.072000000000001</v>
      </c>
      <c r="D86" s="296">
        <v>117.68388800000001</v>
      </c>
      <c r="E86" s="297" t="s">
        <v>628</v>
      </c>
      <c r="F86" s="295" t="s">
        <v>629</v>
      </c>
      <c r="G86" s="298" t="str">
        <f>IFERROR(VLOOKUP(F86,[2]Реестр!A:K,2,0),"")</f>
        <v/>
      </c>
      <c r="H86" s="297">
        <v>100</v>
      </c>
      <c r="I86" s="299">
        <v>27.91</v>
      </c>
      <c r="J86" s="308"/>
    </row>
    <row r="87" spans="1:12" ht="18.75" hidden="1" x14ac:dyDescent="0.3">
      <c r="A87" s="296">
        <v>8.9166666666666661</v>
      </c>
      <c r="B87" s="296">
        <v>7.75</v>
      </c>
      <c r="C87" s="296">
        <v>19.5</v>
      </c>
      <c r="D87" s="296">
        <v>185</v>
      </c>
      <c r="E87" s="297" t="s">
        <v>213</v>
      </c>
      <c r="F87" s="295" t="s">
        <v>212</v>
      </c>
      <c r="G87" s="298" t="str">
        <f>IFERROR(VLOOKUP(F87,[2]Реестр!A:K,2,0),"")</f>
        <v>300</v>
      </c>
      <c r="H87" s="300">
        <v>250</v>
      </c>
      <c r="I87" s="301">
        <v>42</v>
      </c>
    </row>
    <row r="88" spans="1:12" ht="18.75" hidden="1" x14ac:dyDescent="0.3">
      <c r="A88" s="296">
        <v>21.712499999999999</v>
      </c>
      <c r="B88" s="296">
        <v>11.317500000000001</v>
      </c>
      <c r="C88" s="296">
        <v>38.486249999999998</v>
      </c>
      <c r="D88" s="296">
        <v>342.65249999999997</v>
      </c>
      <c r="E88" s="297" t="s">
        <v>630</v>
      </c>
      <c r="F88" s="295" t="s">
        <v>631</v>
      </c>
      <c r="G88" s="298" t="str">
        <f>IFERROR(VLOOKUP(F88,[2]Реестр!A:K,2,0),"")</f>
        <v/>
      </c>
      <c r="H88" s="300">
        <v>250</v>
      </c>
      <c r="I88" s="300">
        <v>109.55</v>
      </c>
    </row>
    <row r="89" spans="1:12" ht="18.75" hidden="1" x14ac:dyDescent="0.3">
      <c r="A89" s="296">
        <v>0.2</v>
      </c>
      <c r="B89" s="296">
        <v>0</v>
      </c>
      <c r="C89" s="296">
        <v>13.7</v>
      </c>
      <c r="D89" s="296">
        <v>53</v>
      </c>
      <c r="E89" s="297" t="s">
        <v>353</v>
      </c>
      <c r="F89" s="295" t="s">
        <v>499</v>
      </c>
      <c r="G89" s="298" t="str">
        <f>IFERROR(VLOOKUP(F89,[2]Реестр!A:K,2,0),"")</f>
        <v>200</v>
      </c>
      <c r="H89" s="300">
        <v>200</v>
      </c>
      <c r="I89" s="301">
        <v>4.38</v>
      </c>
    </row>
    <row r="90" spans="1:12" ht="18.75" hidden="1" x14ac:dyDescent="0.3">
      <c r="A90" s="296">
        <v>3.3</v>
      </c>
      <c r="B90" s="296">
        <v>0.3</v>
      </c>
      <c r="C90" s="296">
        <v>23.4</v>
      </c>
      <c r="D90" s="296">
        <v>112</v>
      </c>
      <c r="E90" s="297" t="s">
        <v>471</v>
      </c>
      <c r="F90" s="302" t="s">
        <v>66</v>
      </c>
      <c r="G90" s="298" t="str">
        <f>IFERROR(VLOOKUP(F90,[2]Реестр!A:K,2,0),"")</f>
        <v>100</v>
      </c>
      <c r="H90" s="300">
        <v>50</v>
      </c>
      <c r="I90" s="301">
        <v>4.5</v>
      </c>
    </row>
    <row r="91" spans="1:12" ht="18.75" hidden="1" x14ac:dyDescent="0.3">
      <c r="A91" s="296">
        <v>3.3</v>
      </c>
      <c r="B91" s="296">
        <v>0.6</v>
      </c>
      <c r="C91" s="296">
        <v>16.7</v>
      </c>
      <c r="D91" s="296">
        <v>96.5</v>
      </c>
      <c r="E91" s="297" t="s">
        <v>471</v>
      </c>
      <c r="F91" s="302" t="s">
        <v>65</v>
      </c>
      <c r="G91" s="298" t="str">
        <f>IFERROR(VLOOKUP(F91,[2]Реестр!A:K,2,0),"")</f>
        <v>100</v>
      </c>
      <c r="H91" s="300">
        <v>50</v>
      </c>
      <c r="I91" s="301">
        <v>4.5</v>
      </c>
    </row>
    <row r="92" spans="1:12" ht="18.75" hidden="1" x14ac:dyDescent="0.3">
      <c r="A92" s="296"/>
      <c r="B92" s="296"/>
      <c r="C92" s="296"/>
      <c r="D92" s="296"/>
      <c r="E92" s="303"/>
      <c r="F92" s="302"/>
      <c r="G92" s="298"/>
      <c r="H92" s="300"/>
      <c r="I92" s="301"/>
      <c r="K92" s="293"/>
    </row>
    <row r="93" spans="1:12" ht="18.75" hidden="1" x14ac:dyDescent="0.3">
      <c r="A93" s="518" t="s">
        <v>16</v>
      </c>
      <c r="B93" s="518"/>
      <c r="C93" s="518"/>
      <c r="D93" s="518"/>
      <c r="E93" s="518"/>
      <c r="F93" s="518"/>
      <c r="G93" s="294"/>
      <c r="H93" s="291"/>
      <c r="I93" s="288">
        <f>SUM(I86:I92)</f>
        <v>192.83999999999997</v>
      </c>
      <c r="J93" s="305">
        <v>147.79</v>
      </c>
      <c r="L93" s="293">
        <f>J93-I93</f>
        <v>-45.049999999999983</v>
      </c>
    </row>
    <row r="94" spans="1:12" ht="18.75" hidden="1" x14ac:dyDescent="0.3">
      <c r="A94" s="513" t="s">
        <v>544</v>
      </c>
      <c r="B94" s="513"/>
      <c r="C94" s="513"/>
      <c r="D94" s="513"/>
      <c r="E94" s="513"/>
      <c r="F94" s="513"/>
      <c r="G94" s="513"/>
      <c r="H94" s="513"/>
      <c r="I94" s="513"/>
      <c r="K94" s="293"/>
    </row>
    <row r="95" spans="1:12" ht="18.75" hidden="1" customHeight="1" x14ac:dyDescent="0.25">
      <c r="A95" s="285">
        <f>IFERROR(VLOOKUP(F95,[1]Реестр!A:K,3,0)*H95/G95,"")</f>
        <v>5.08</v>
      </c>
      <c r="B95" s="285">
        <f>IFERROR(VLOOKUP(F95,[1]Реестр!A:K,4,0)*H95/G95,"")</f>
        <v>11.55</v>
      </c>
      <c r="C95" s="285">
        <f>IFERROR(VLOOKUP(F95,[1]Реестр!A:K,5,0)*H95/G95,"")</f>
        <v>9.9700000000000006</v>
      </c>
      <c r="D95" s="285">
        <f>IFERROR(VLOOKUP(F95,[1]Реестр!A:K,6,0)*H95/G95,"")</f>
        <v>164.15</v>
      </c>
      <c r="E95" s="286" t="str">
        <f>IFERROR(VLOOKUP(F95,[1]Реестр!A:K,11,0),"")</f>
        <v>1*51</v>
      </c>
      <c r="F95" s="290" t="s">
        <v>91</v>
      </c>
      <c r="G95" s="287" t="str">
        <f>IFERROR(VLOOKUP(F95,[1]Реестр!A:K,2,0),"")</f>
        <v>45</v>
      </c>
      <c r="H95" s="309">
        <v>45</v>
      </c>
      <c r="I95" s="515">
        <v>108.64</v>
      </c>
      <c r="K95" s="293"/>
    </row>
    <row r="96" spans="1:12" ht="33.75" hidden="1" customHeight="1" x14ac:dyDescent="0.25">
      <c r="A96" s="285">
        <f>IFERROR(VLOOKUP(F96,[1]Реестр!A:K,3,0)*H96/G96,"")</f>
        <v>6.3749999999999991</v>
      </c>
      <c r="B96" s="285">
        <f>IFERROR(VLOOKUP(F96,[1]Реестр!A:K,4,0)*H96/G96,"")</f>
        <v>5.7499999999999991</v>
      </c>
      <c r="C96" s="285">
        <f>IFERROR(VLOOKUP(F96,[1]Реестр!A:K,5,0)*H96/G96,"")</f>
        <v>0.375</v>
      </c>
      <c r="D96" s="285">
        <f>IFERROR(VLOOKUP(F96,[1]Реестр!A:K,6,0)*H96/G96,"")</f>
        <v>78.75</v>
      </c>
      <c r="E96" s="286" t="str">
        <f>IFERROR(VLOOKUP(F96,[1]Реестр!A:K,11,0),"")</f>
        <v>4*57</v>
      </c>
      <c r="F96" s="290" t="s">
        <v>162</v>
      </c>
      <c r="G96" s="287" t="str">
        <f>IFERROR(VLOOKUP(F96,[1]Реестр!A:K,2,0),"")</f>
        <v>40</v>
      </c>
      <c r="H96" s="309">
        <v>50</v>
      </c>
      <c r="I96" s="516"/>
      <c r="K96" s="293"/>
    </row>
    <row r="97" spans="1:12" ht="45" hidden="1" customHeight="1" x14ac:dyDescent="0.25">
      <c r="A97" s="310">
        <v>8.1999999999999993</v>
      </c>
      <c r="B97" s="310">
        <v>8.4</v>
      </c>
      <c r="C97" s="310">
        <v>36.200000000000003</v>
      </c>
      <c r="D97" s="310">
        <v>244</v>
      </c>
      <c r="E97" s="311" t="str">
        <f>"2/66 (МР 2.4.0162-19. 2.4.)"</f>
        <v>2/66 (МР 2.4.0162-19. 2.4.)</v>
      </c>
      <c r="F97" s="312" t="s">
        <v>546</v>
      </c>
      <c r="G97" s="287" t="str">
        <f>IFERROR(VLOOKUP(F97,[1]Реестр!A:K,2,0),"")</f>
        <v>250</v>
      </c>
      <c r="H97" s="309">
        <v>200</v>
      </c>
      <c r="I97" s="516"/>
      <c r="K97" s="293"/>
    </row>
    <row r="98" spans="1:12" ht="30" hidden="1" customHeight="1" x14ac:dyDescent="0.25">
      <c r="A98" s="313">
        <v>4.03</v>
      </c>
      <c r="B98" s="313">
        <v>3.19</v>
      </c>
      <c r="C98" s="313">
        <v>6.87</v>
      </c>
      <c r="D98" s="313">
        <v>68.87885</v>
      </c>
      <c r="E98" s="311" t="str">
        <f>"11/72 (2014 № 11.8)"</f>
        <v>11/72 (2014 № 11.8)</v>
      </c>
      <c r="F98" s="312" t="s">
        <v>564</v>
      </c>
      <c r="G98" s="287" t="str">
        <f>IFERROR(VLOOKUP(F98,[1]Реестр!A:K,2,0),"")</f>
        <v/>
      </c>
      <c r="H98" s="309" t="str">
        <f>"200"</f>
        <v>200</v>
      </c>
      <c r="I98" s="516"/>
      <c r="K98" s="293"/>
    </row>
    <row r="99" spans="1:12" ht="18.75" hidden="1" customHeight="1" x14ac:dyDescent="0.25">
      <c r="A99" s="285">
        <f>IFERROR(VLOOKUP(F99,[1]Реестр!A:K,3,0)*H99/G99,"")</f>
        <v>1.32</v>
      </c>
      <c r="B99" s="285">
        <f>IFERROR(VLOOKUP(F99,[1]Реестр!A:K,4,0)*H99/G99,"")</f>
        <v>0.24</v>
      </c>
      <c r="C99" s="285">
        <f>IFERROR(VLOOKUP(F99,[1]Реестр!A:K,5,0)*H99/G99,"")</f>
        <v>6.68</v>
      </c>
      <c r="D99" s="285">
        <f>IFERROR(VLOOKUP(F99,[1]Реестр!A:K,6,0)*H99/G99,"")</f>
        <v>38.6</v>
      </c>
      <c r="E99" s="286" t="str">
        <f>IFERROR(VLOOKUP(F99,[1]Реестр!A:K,11,0),"")</f>
        <v>-</v>
      </c>
      <c r="F99" s="292" t="s">
        <v>65</v>
      </c>
      <c r="G99" s="287" t="str">
        <f>IFERROR(VLOOKUP(F99,[1]Реестр!A:K,2,0),"")</f>
        <v>100</v>
      </c>
      <c r="H99" s="314" t="str">
        <f>"20"</f>
        <v>20</v>
      </c>
      <c r="I99" s="517"/>
      <c r="K99" s="293"/>
    </row>
    <row r="100" spans="1:12" ht="18.75" hidden="1" x14ac:dyDescent="0.3">
      <c r="A100" s="518" t="s">
        <v>16</v>
      </c>
      <c r="B100" s="518"/>
      <c r="C100" s="518"/>
      <c r="D100" s="518"/>
      <c r="E100" s="518"/>
      <c r="F100" s="518"/>
      <c r="G100" s="294"/>
      <c r="H100" s="291"/>
      <c r="I100" s="288">
        <f>SUM(I95:I99)</f>
        <v>108.64</v>
      </c>
      <c r="K100" s="293"/>
    </row>
    <row r="101" spans="1:12" ht="18.75" hidden="1" x14ac:dyDescent="0.3">
      <c r="A101" s="513" t="s">
        <v>545</v>
      </c>
      <c r="B101" s="513"/>
      <c r="C101" s="513"/>
      <c r="D101" s="513"/>
      <c r="E101" s="513"/>
      <c r="F101" s="513"/>
      <c r="G101" s="513"/>
      <c r="H101" s="513"/>
      <c r="I101" s="513"/>
      <c r="J101" s="305">
        <v>85.2</v>
      </c>
      <c r="K101" s="293"/>
      <c r="L101" s="293">
        <f>J101-I101</f>
        <v>85.2</v>
      </c>
    </row>
    <row r="102" spans="1:12" ht="18.75" hidden="1" customHeight="1" x14ac:dyDescent="0.25">
      <c r="A102" s="285">
        <f>IFERROR(VLOOKUP(F102,[1]Реестр!A:K,3,0)*H102/G102,"")</f>
        <v>6.3749999999999991</v>
      </c>
      <c r="B102" s="285">
        <f>IFERROR(VLOOKUP(F102,[1]Реестр!A:K,4,0)*H102/G102,"")</f>
        <v>5.7499999999999991</v>
      </c>
      <c r="C102" s="285">
        <f>IFERROR(VLOOKUP(F102,[1]Реестр!A:K,5,0)*H102/G102,"")</f>
        <v>0.375</v>
      </c>
      <c r="D102" s="285">
        <f>IFERROR(VLOOKUP(F102,[1]Реестр!A:K,6,0)*H102/G102,"")</f>
        <v>78.75</v>
      </c>
      <c r="E102" s="286" t="str">
        <f>IFERROR(VLOOKUP(F102,[1]Реестр!A:K,11,0),"")</f>
        <v>4*57</v>
      </c>
      <c r="F102" s="290" t="s">
        <v>162</v>
      </c>
      <c r="G102" s="287" t="str">
        <f>IFERROR(VLOOKUP(F102,[1]Реестр!A:K,2,0),"")</f>
        <v>40</v>
      </c>
      <c r="H102" s="309">
        <v>50</v>
      </c>
      <c r="I102" s="515">
        <v>108.64</v>
      </c>
      <c r="K102" s="293"/>
    </row>
    <row r="103" spans="1:12" ht="18.75" hidden="1" customHeight="1" x14ac:dyDescent="0.25">
      <c r="A103" s="285">
        <v>7.23</v>
      </c>
      <c r="B103" s="313">
        <v>12.83</v>
      </c>
      <c r="C103" s="313">
        <v>34.92</v>
      </c>
      <c r="D103" s="313">
        <v>275.69060599999995</v>
      </c>
      <c r="E103" s="311" t="str">
        <f>"2/73 (МР 2.4.0162-19 № 54-29к-2020)"</f>
        <v>2/73 (МР 2.4.0162-19 № 54-29к-2020)</v>
      </c>
      <c r="F103" s="312" t="s">
        <v>606</v>
      </c>
      <c r="G103" s="287" t="str">
        <f>IFERROR(VLOOKUP(F103,[1]Реестр!A:K,2,0),"")</f>
        <v/>
      </c>
      <c r="H103" s="309">
        <v>200</v>
      </c>
      <c r="I103" s="516"/>
      <c r="K103" s="293"/>
    </row>
    <row r="104" spans="1:12" ht="18.75" hidden="1" customHeight="1" x14ac:dyDescent="0.25">
      <c r="A104" s="285">
        <f>IFERROR(VLOOKUP(F104,[1]Реестр!A:K,3,0)*H104/G104,"")</f>
        <v>0.17499999999999999</v>
      </c>
      <c r="B104" s="285">
        <f>IFERROR(VLOOKUP(F104,[1]Реестр!A:K,4,0)*H104/G104,"")</f>
        <v>0.105</v>
      </c>
      <c r="C104" s="285">
        <f>IFERROR(VLOOKUP(F104,[1]Реестр!A:K,5,0)*H104/G104,"")</f>
        <v>10.01</v>
      </c>
      <c r="D104" s="285">
        <f>IFERROR(VLOOKUP(F104,[1]Реестр!A:K,6,0)*H104/G104,"")</f>
        <v>40.6</v>
      </c>
      <c r="E104" s="286" t="str">
        <f>IFERROR(VLOOKUP(F104,[1]Реестр!A:K,11,0),"")</f>
        <v>12*2</v>
      </c>
      <c r="F104" s="290" t="s">
        <v>371</v>
      </c>
      <c r="G104" s="287" t="str">
        <f>IFERROR(VLOOKUP(F104,[1]Реестр!A:K,2,0),"")</f>
        <v>100</v>
      </c>
      <c r="H104" s="309">
        <v>35</v>
      </c>
      <c r="I104" s="516"/>
      <c r="K104" s="293"/>
    </row>
    <row r="105" spans="1:12" ht="18.75" hidden="1" customHeight="1" x14ac:dyDescent="0.25">
      <c r="A105" s="313">
        <v>0.18</v>
      </c>
      <c r="B105" s="313">
        <v>0.04</v>
      </c>
      <c r="C105" s="313">
        <v>13.75</v>
      </c>
      <c r="D105" s="313">
        <v>53.136642799999997</v>
      </c>
      <c r="E105" s="286" t="s">
        <v>353</v>
      </c>
      <c r="F105" s="312" t="s">
        <v>563</v>
      </c>
      <c r="G105" s="287" t="str">
        <f>IFERROR(VLOOKUP(F105,[1]Реестр!A:K,2,0),"")</f>
        <v/>
      </c>
      <c r="H105" s="309" t="str">
        <f>"200"</f>
        <v>200</v>
      </c>
      <c r="I105" s="516"/>
      <c r="K105" s="293"/>
    </row>
    <row r="106" spans="1:12" ht="18.75" hidden="1" customHeight="1" x14ac:dyDescent="0.25">
      <c r="A106" s="285">
        <f>IFERROR(VLOOKUP(F106,[1]Реестр!A:K,3,0)*H106/G106,"")</f>
        <v>1.32</v>
      </c>
      <c r="B106" s="285">
        <f>IFERROR(VLOOKUP(F106,[1]Реестр!A:K,4,0)*H106/G106,"")</f>
        <v>0.24</v>
      </c>
      <c r="C106" s="285">
        <f>IFERROR(VLOOKUP(F106,[1]Реестр!A:K,5,0)*H106/G106,"")</f>
        <v>6.68</v>
      </c>
      <c r="D106" s="285">
        <f>IFERROR(VLOOKUP(F106,[1]Реестр!A:K,6,0)*H106/G106,"")</f>
        <v>38.6</v>
      </c>
      <c r="E106" s="286" t="str">
        <f>IFERROR(VLOOKUP(F106,[1]Реестр!A:K,11,0),"")</f>
        <v>-</v>
      </c>
      <c r="F106" s="292" t="s">
        <v>65</v>
      </c>
      <c r="G106" s="287" t="str">
        <f>IFERROR(VLOOKUP(F106,[1]Реестр!A:K,2,0),"")</f>
        <v>100</v>
      </c>
      <c r="H106" s="314" t="str">
        <f>"20"</f>
        <v>20</v>
      </c>
      <c r="I106" s="516"/>
      <c r="K106" s="293"/>
    </row>
    <row r="107" spans="1:12" ht="18.75" hidden="1" customHeight="1" x14ac:dyDescent="0.3">
      <c r="A107" s="285">
        <f>IFERROR(VLOOKUP(F107,[1]Реестр!A:K,3,0)*H107/G107,"")</f>
        <v>1.32</v>
      </c>
      <c r="B107" s="285">
        <f>IFERROR(VLOOKUP(F107,[1]Реестр!A:K,4,0)*H107/G107,"")</f>
        <v>0.12</v>
      </c>
      <c r="C107" s="285">
        <f>IFERROR(VLOOKUP(F107,[1]Реестр!A:K,5,0)*H107/G107,"")</f>
        <v>9.36</v>
      </c>
      <c r="D107" s="285">
        <f>IFERROR(VLOOKUP(F107,[1]Реестр!A:K,6,0)*H107/G107,"")</f>
        <v>44.8</v>
      </c>
      <c r="E107" s="286" t="str">
        <f>IFERROR(VLOOKUP(F107,[1]Реестр!A:K,11,0),"")</f>
        <v>-</v>
      </c>
      <c r="F107" s="292" t="s">
        <v>66</v>
      </c>
      <c r="G107" s="287" t="str">
        <f>IFERROR(VLOOKUP(F107,[1]Реестр!A:K,2,0),"")</f>
        <v>100</v>
      </c>
      <c r="H107" s="291">
        <v>20</v>
      </c>
      <c r="I107" s="517"/>
      <c r="K107" s="293"/>
    </row>
    <row r="108" spans="1:12" ht="18.75" hidden="1" x14ac:dyDescent="0.3">
      <c r="A108" s="518" t="s">
        <v>16</v>
      </c>
      <c r="B108" s="518"/>
      <c r="C108" s="518"/>
      <c r="D108" s="518"/>
      <c r="E108" s="518"/>
      <c r="F108" s="518"/>
      <c r="G108" s="294"/>
      <c r="H108" s="291"/>
      <c r="I108" s="288">
        <f>SUM(I102)</f>
        <v>108.64</v>
      </c>
      <c r="K108" s="293"/>
    </row>
    <row r="109" spans="1:12" ht="18.75" hidden="1" x14ac:dyDescent="0.3">
      <c r="A109" s="513" t="s">
        <v>566</v>
      </c>
      <c r="B109" s="513"/>
      <c r="C109" s="513"/>
      <c r="D109" s="513"/>
      <c r="E109" s="513"/>
      <c r="F109" s="513"/>
      <c r="G109" s="513"/>
      <c r="H109" s="513"/>
      <c r="I109" s="513"/>
      <c r="K109" s="293"/>
    </row>
    <row r="110" spans="1:12" ht="18.75" hidden="1" customHeight="1" x14ac:dyDescent="0.25">
      <c r="A110" s="295">
        <v>14.01</v>
      </c>
      <c r="B110" s="296">
        <v>6.2079999999999993</v>
      </c>
      <c r="C110" s="296">
        <v>12.072000000000001</v>
      </c>
      <c r="D110" s="296">
        <v>117.68388800000001</v>
      </c>
      <c r="E110" s="297" t="s">
        <v>628</v>
      </c>
      <c r="F110" s="295" t="s">
        <v>629</v>
      </c>
      <c r="G110" s="298" t="str">
        <f>IFERROR(VLOOKUP(F110,[2]Реестр!A:K,2,0),"")</f>
        <v/>
      </c>
      <c r="H110" s="315" t="s">
        <v>81</v>
      </c>
      <c r="I110" s="515">
        <v>162.94999999999999</v>
      </c>
      <c r="K110" s="293"/>
    </row>
    <row r="111" spans="1:12" ht="30" hidden="1" customHeight="1" x14ac:dyDescent="0.25">
      <c r="A111" s="315">
        <v>12.44</v>
      </c>
      <c r="B111" s="315">
        <v>7.77</v>
      </c>
      <c r="C111" s="315">
        <v>25.16</v>
      </c>
      <c r="D111" s="315">
        <v>208</v>
      </c>
      <c r="E111" s="316" t="str">
        <f>"6/57 (2004 № 139)"</f>
        <v>6/57 (2004 № 139)</v>
      </c>
      <c r="F111" s="316" t="s">
        <v>603</v>
      </c>
      <c r="G111" s="298" t="str">
        <f>IFERROR(VLOOKUP(F111,[2]Реестр!A:K,2,0),"")</f>
        <v/>
      </c>
      <c r="H111" s="317" t="str">
        <f>"250"</f>
        <v>250</v>
      </c>
      <c r="I111" s="516"/>
      <c r="K111" s="293"/>
    </row>
    <row r="112" spans="1:12" ht="18.75" hidden="1" customHeight="1" x14ac:dyDescent="0.25">
      <c r="A112" s="315">
        <v>15.55</v>
      </c>
      <c r="B112" s="315">
        <v>18.7</v>
      </c>
      <c r="C112" s="315">
        <v>44.29</v>
      </c>
      <c r="D112" s="315">
        <v>408.6</v>
      </c>
      <c r="E112" s="316" t="str">
        <f>"9/17"</f>
        <v>9/17</v>
      </c>
      <c r="F112" s="316" t="s">
        <v>631</v>
      </c>
      <c r="G112" s="298"/>
      <c r="H112" s="318">
        <v>200</v>
      </c>
      <c r="I112" s="516"/>
      <c r="K112" s="293"/>
    </row>
    <row r="113" spans="1:11" ht="18.75" hidden="1" customHeight="1" x14ac:dyDescent="0.25">
      <c r="A113" s="315">
        <v>0.18</v>
      </c>
      <c r="B113" s="315">
        <v>0.04</v>
      </c>
      <c r="C113" s="315">
        <v>13.75</v>
      </c>
      <c r="D113" s="315">
        <v>53.136642799999997</v>
      </c>
      <c r="E113" s="316" t="str">
        <f>"11/74"</f>
        <v>11/74</v>
      </c>
      <c r="F113" s="316" t="s">
        <v>632</v>
      </c>
      <c r="G113" s="298"/>
      <c r="H113" s="315" t="s">
        <v>118</v>
      </c>
      <c r="I113" s="516"/>
      <c r="K113" s="293"/>
    </row>
    <row r="114" spans="1:11" ht="18.75" hidden="1" customHeight="1" x14ac:dyDescent="0.25">
      <c r="A114" s="319">
        <v>2.64</v>
      </c>
      <c r="B114" s="319">
        <v>0.48</v>
      </c>
      <c r="C114" s="319">
        <v>16.68</v>
      </c>
      <c r="D114" s="319">
        <v>77.352000000000004</v>
      </c>
      <c r="E114" s="316" t="str">
        <f>"-"</f>
        <v>-</v>
      </c>
      <c r="F114" s="302" t="s">
        <v>66</v>
      </c>
      <c r="G114" s="298"/>
      <c r="H114" s="319" t="str">
        <f>"40"</f>
        <v>40</v>
      </c>
      <c r="I114" s="516"/>
      <c r="K114" s="293"/>
    </row>
    <row r="115" spans="1:11" ht="18.75" hidden="1" customHeight="1" x14ac:dyDescent="0.25">
      <c r="A115" s="319">
        <v>2.64</v>
      </c>
      <c r="B115" s="319">
        <v>0.48</v>
      </c>
      <c r="C115" s="319">
        <v>16.68</v>
      </c>
      <c r="D115" s="319">
        <v>77.352000000000004</v>
      </c>
      <c r="E115" s="320" t="str">
        <f>"-"</f>
        <v>-</v>
      </c>
      <c r="F115" s="302" t="s">
        <v>65</v>
      </c>
      <c r="G115" s="298" t="str">
        <f>IFERROR(VLOOKUP(F115,[2]Реестр!A:K,2,0),"")</f>
        <v>100</v>
      </c>
      <c r="H115" s="319" t="str">
        <f>"40"</f>
        <v>40</v>
      </c>
      <c r="I115" s="516"/>
      <c r="K115" s="293"/>
    </row>
    <row r="116" spans="1:11" ht="18.75" hidden="1" customHeight="1" x14ac:dyDescent="0.25">
      <c r="A116" s="310"/>
      <c r="B116" s="310"/>
      <c r="C116" s="310"/>
      <c r="D116" s="310"/>
      <c r="E116" s="321"/>
      <c r="F116" s="292"/>
      <c r="G116" s="287"/>
      <c r="H116" s="322"/>
      <c r="I116" s="516"/>
      <c r="K116" s="293"/>
    </row>
    <row r="117" spans="1:11" ht="18.75" hidden="1" x14ac:dyDescent="0.3">
      <c r="A117" s="518" t="s">
        <v>16</v>
      </c>
      <c r="B117" s="518"/>
      <c r="C117" s="518"/>
      <c r="D117" s="518"/>
      <c r="E117" s="518"/>
      <c r="F117" s="518"/>
      <c r="G117" s="294"/>
      <c r="H117" s="291"/>
      <c r="I117" s="288">
        <f>SUM(I110:I116)</f>
        <v>162.94999999999999</v>
      </c>
      <c r="K117" s="293"/>
    </row>
    <row r="118" spans="1:11" ht="18.75" hidden="1" x14ac:dyDescent="0.3">
      <c r="A118" s="513" t="s">
        <v>550</v>
      </c>
      <c r="B118" s="513"/>
      <c r="C118" s="513"/>
      <c r="D118" s="513"/>
      <c r="E118" s="513"/>
      <c r="F118" s="513"/>
      <c r="G118" s="513"/>
      <c r="H118" s="513"/>
      <c r="I118" s="513"/>
      <c r="K118" s="293"/>
    </row>
    <row r="119" spans="1:11" ht="31.5" hidden="1" customHeight="1" x14ac:dyDescent="0.25">
      <c r="A119" s="295">
        <v>14.01</v>
      </c>
      <c r="B119" s="296">
        <v>6.2079999999999993</v>
      </c>
      <c r="C119" s="296">
        <v>12.072000000000001</v>
      </c>
      <c r="D119" s="296">
        <v>117.68388800000001</v>
      </c>
      <c r="E119" s="297" t="s">
        <v>628</v>
      </c>
      <c r="F119" s="295" t="s">
        <v>629</v>
      </c>
      <c r="G119" s="298" t="str">
        <f>IFERROR(VLOOKUP(F119,[2]Реестр!A:K,2,0),"")</f>
        <v/>
      </c>
      <c r="H119" s="315" t="s">
        <v>81</v>
      </c>
      <c r="I119" s="515">
        <v>162.94999999999999</v>
      </c>
      <c r="K119" s="293"/>
    </row>
    <row r="120" spans="1:11" ht="18.75" hidden="1" customHeight="1" x14ac:dyDescent="0.25">
      <c r="A120" s="315">
        <v>12.44</v>
      </c>
      <c r="B120" s="315">
        <v>7.77</v>
      </c>
      <c r="C120" s="315">
        <v>25.16</v>
      </c>
      <c r="D120" s="315">
        <v>208</v>
      </c>
      <c r="E120" s="316" t="str">
        <f>"6/57 (2004 № 139)"</f>
        <v>6/57 (2004 № 139)</v>
      </c>
      <c r="F120" s="323" t="s">
        <v>603</v>
      </c>
      <c r="G120" s="298" t="str">
        <f>IFERROR(VLOOKUP(F120,[2]Реестр!A:K,2,0),"")</f>
        <v/>
      </c>
      <c r="H120" s="317" t="str">
        <f>"250"</f>
        <v>250</v>
      </c>
      <c r="I120" s="516"/>
      <c r="K120" s="293"/>
    </row>
    <row r="121" spans="1:11" ht="18.75" hidden="1" customHeight="1" x14ac:dyDescent="0.25">
      <c r="A121" s="315">
        <v>15.55</v>
      </c>
      <c r="B121" s="315">
        <v>18.7</v>
      </c>
      <c r="C121" s="315">
        <v>44.29</v>
      </c>
      <c r="D121" s="315">
        <v>408.6</v>
      </c>
      <c r="E121" s="316" t="str">
        <f>"9/17"</f>
        <v>9/17</v>
      </c>
      <c r="F121" s="316" t="s">
        <v>631</v>
      </c>
      <c r="G121" s="298"/>
      <c r="H121" s="318">
        <v>200</v>
      </c>
      <c r="I121" s="516"/>
      <c r="K121" s="293"/>
    </row>
    <row r="122" spans="1:11" ht="18.75" hidden="1" customHeight="1" x14ac:dyDescent="0.25">
      <c r="A122" s="315">
        <v>0.18</v>
      </c>
      <c r="B122" s="315">
        <v>0.04</v>
      </c>
      <c r="C122" s="315">
        <v>13.75</v>
      </c>
      <c r="D122" s="315">
        <v>53.136642799999997</v>
      </c>
      <c r="E122" s="316" t="str">
        <f>"11/56"</f>
        <v>11/56</v>
      </c>
      <c r="F122" s="316" t="s">
        <v>499</v>
      </c>
      <c r="G122" s="298"/>
      <c r="H122" s="317" t="str">
        <f>"200"</f>
        <v>200</v>
      </c>
      <c r="I122" s="516"/>
      <c r="K122" s="293"/>
    </row>
    <row r="123" spans="1:11" ht="18.75" hidden="1" customHeight="1" x14ac:dyDescent="0.25">
      <c r="A123" s="319">
        <v>2.64</v>
      </c>
      <c r="B123" s="319">
        <v>0.48</v>
      </c>
      <c r="C123" s="319">
        <v>16.68</v>
      </c>
      <c r="D123" s="319">
        <v>77.352000000000004</v>
      </c>
      <c r="E123" s="316" t="str">
        <f>"-"</f>
        <v>-</v>
      </c>
      <c r="F123" s="302" t="s">
        <v>66</v>
      </c>
      <c r="G123" s="298"/>
      <c r="H123" s="319" t="str">
        <f>"40"</f>
        <v>40</v>
      </c>
      <c r="I123" s="516"/>
      <c r="K123" s="293"/>
    </row>
    <row r="124" spans="1:11" ht="18.75" hidden="1" customHeight="1" x14ac:dyDescent="0.25">
      <c r="A124" s="319">
        <v>2.64</v>
      </c>
      <c r="B124" s="319">
        <v>0.48</v>
      </c>
      <c r="C124" s="319">
        <v>16.68</v>
      </c>
      <c r="D124" s="319">
        <v>77.352000000000004</v>
      </c>
      <c r="E124" s="320" t="str">
        <f>"-"</f>
        <v>-</v>
      </c>
      <c r="F124" s="302" t="s">
        <v>65</v>
      </c>
      <c r="G124" s="298" t="str">
        <f>IFERROR(VLOOKUP(F124,[2]Реестр!A:K,2,0),"")</f>
        <v>100</v>
      </c>
      <c r="H124" s="319" t="str">
        <f>"40"</f>
        <v>40</v>
      </c>
      <c r="I124" s="516"/>
      <c r="K124" s="293"/>
    </row>
    <row r="125" spans="1:11" ht="18.75" hidden="1" customHeight="1" x14ac:dyDescent="0.25">
      <c r="A125" s="319"/>
      <c r="B125" s="319"/>
      <c r="C125" s="319"/>
      <c r="D125" s="319"/>
      <c r="E125" s="320"/>
      <c r="F125" s="302"/>
      <c r="G125" s="298"/>
      <c r="H125" s="319"/>
      <c r="I125" s="516"/>
      <c r="K125" s="293"/>
    </row>
    <row r="126" spans="1:11" ht="18.75" hidden="1" x14ac:dyDescent="0.3">
      <c r="A126" s="518" t="s">
        <v>16</v>
      </c>
      <c r="B126" s="518"/>
      <c r="C126" s="518"/>
      <c r="D126" s="518"/>
      <c r="E126" s="518"/>
      <c r="F126" s="518"/>
      <c r="G126" s="294"/>
      <c r="H126" s="291"/>
      <c r="I126" s="288">
        <f>SUM(I119)</f>
        <v>162.94999999999999</v>
      </c>
      <c r="K126" s="293"/>
    </row>
    <row r="127" spans="1:11" ht="18.75" hidden="1" x14ac:dyDescent="0.25">
      <c r="A127" s="519" t="s">
        <v>593</v>
      </c>
      <c r="B127" s="519"/>
      <c r="C127" s="519"/>
      <c r="D127" s="519"/>
      <c r="E127" s="519"/>
      <c r="F127" s="519"/>
      <c r="G127" s="519"/>
      <c r="H127" s="519"/>
      <c r="I127" s="519"/>
      <c r="K127" s="293"/>
    </row>
    <row r="128" spans="1:11" ht="18.75" hidden="1" x14ac:dyDescent="0.3">
      <c r="A128" s="289">
        <v>5.28</v>
      </c>
      <c r="B128" s="289">
        <v>11.09</v>
      </c>
      <c r="C128" s="289">
        <v>47.35</v>
      </c>
      <c r="D128" s="289">
        <v>310.29000000000002</v>
      </c>
      <c r="E128" s="286" t="s">
        <v>594</v>
      </c>
      <c r="F128" s="290" t="s">
        <v>595</v>
      </c>
      <c r="G128" s="287" t="str">
        <f>IFERROR(VLOOKUP(F128,[12]Реестр!A:K,2,0),"")</f>
        <v/>
      </c>
      <c r="H128" s="291">
        <v>200</v>
      </c>
      <c r="I128" s="288">
        <v>5.8</v>
      </c>
      <c r="K128" s="293"/>
    </row>
    <row r="129" spans="1:11" ht="18.75" hidden="1" x14ac:dyDescent="0.3">
      <c r="A129" s="505" t="s">
        <v>16</v>
      </c>
      <c r="B129" s="506"/>
      <c r="C129" s="506"/>
      <c r="D129" s="506"/>
      <c r="E129" s="506"/>
      <c r="F129" s="507"/>
      <c r="G129" s="294"/>
      <c r="H129" s="291"/>
      <c r="I129" s="288">
        <f>I128</f>
        <v>5.8</v>
      </c>
      <c r="K129" s="293"/>
    </row>
    <row r="130" spans="1:11" s="160" customFormat="1" ht="18.75" x14ac:dyDescent="0.3">
      <c r="A130" s="501" t="s">
        <v>654</v>
      </c>
      <c r="B130" s="502"/>
      <c r="C130" s="502"/>
      <c r="D130" s="502"/>
      <c r="E130" s="502"/>
      <c r="F130" s="502"/>
      <c r="G130" s="502"/>
      <c r="H130" s="502"/>
      <c r="I130" s="503"/>
      <c r="J130" s="180"/>
      <c r="K130" s="163"/>
    </row>
    <row r="131" spans="1:11" s="160" customFormat="1" ht="18.75" x14ac:dyDescent="0.3">
      <c r="A131" s="168">
        <v>7.7</v>
      </c>
      <c r="B131" s="168">
        <v>7.42</v>
      </c>
      <c r="C131" s="168">
        <v>32.090000000000003</v>
      </c>
      <c r="D131" s="168">
        <v>225.88</v>
      </c>
      <c r="E131" s="169" t="s">
        <v>408</v>
      </c>
      <c r="F131" s="277" t="s">
        <v>605</v>
      </c>
      <c r="G131" s="153" t="str">
        <f>IFERROR(VLOOKUP(F131,[2]Реестр!A:K,2,0),"")</f>
        <v/>
      </c>
      <c r="H131" s="149">
        <v>100</v>
      </c>
      <c r="I131" s="150">
        <v>42</v>
      </c>
      <c r="J131" s="180"/>
      <c r="K131" s="163"/>
    </row>
    <row r="132" spans="1:11" s="160" customFormat="1" ht="18.75" x14ac:dyDescent="0.3">
      <c r="A132" s="189">
        <v>8.9166666666666661</v>
      </c>
      <c r="B132" s="189">
        <v>7.75</v>
      </c>
      <c r="C132" s="189">
        <v>19.5</v>
      </c>
      <c r="D132" s="189">
        <v>185</v>
      </c>
      <c r="E132" s="190" t="s">
        <v>213</v>
      </c>
      <c r="F132" s="273" t="s">
        <v>212</v>
      </c>
      <c r="G132" s="191" t="str">
        <f>IFERROR(VLOOKUP(F132,[2]Реестр!A:K,2,0),"")</f>
        <v>300</v>
      </c>
      <c r="H132" s="192">
        <v>200</v>
      </c>
      <c r="I132" s="193">
        <v>33.6</v>
      </c>
      <c r="J132" s="180"/>
      <c r="K132" s="163"/>
    </row>
    <row r="133" spans="1:11" s="160" customFormat="1" ht="18.75" x14ac:dyDescent="0.3">
      <c r="A133" s="189">
        <v>17.37</v>
      </c>
      <c r="B133" s="189">
        <v>9.0540000000000003</v>
      </c>
      <c r="C133" s="189">
        <v>30.789000000000001</v>
      </c>
      <c r="D133" s="189">
        <v>274.12200000000001</v>
      </c>
      <c r="E133" s="190" t="s">
        <v>630</v>
      </c>
      <c r="F133" s="273" t="s">
        <v>631</v>
      </c>
      <c r="G133" s="191" t="str">
        <f>IFERROR(VLOOKUP(F133,[2]Реестр!A:K,2,0),"")</f>
        <v/>
      </c>
      <c r="H133" s="192">
        <v>180</v>
      </c>
      <c r="I133" s="192">
        <v>78.92</v>
      </c>
      <c r="J133" s="180"/>
      <c r="K133" s="163"/>
    </row>
    <row r="134" spans="1:11" s="160" customFormat="1" ht="18.75" x14ac:dyDescent="0.3">
      <c r="A134" s="189">
        <v>0.2</v>
      </c>
      <c r="B134" s="189">
        <v>0</v>
      </c>
      <c r="C134" s="189">
        <v>13.7</v>
      </c>
      <c r="D134" s="189">
        <v>53</v>
      </c>
      <c r="E134" s="190" t="s">
        <v>353</v>
      </c>
      <c r="F134" s="273" t="s">
        <v>499</v>
      </c>
      <c r="G134" s="191" t="str">
        <f>IFERROR(VLOOKUP(F134,[2]Реестр!A:K,2,0),"")</f>
        <v>200</v>
      </c>
      <c r="H134" s="192">
        <v>200</v>
      </c>
      <c r="I134" s="193">
        <v>4.38</v>
      </c>
      <c r="J134" s="180"/>
      <c r="K134" s="163"/>
    </row>
    <row r="135" spans="1:11" s="160" customFormat="1" ht="18.75" x14ac:dyDescent="0.3">
      <c r="A135" s="189">
        <v>2.64</v>
      </c>
      <c r="B135" s="189">
        <v>0.24</v>
      </c>
      <c r="C135" s="189">
        <v>18.72</v>
      </c>
      <c r="D135" s="189">
        <v>89.6</v>
      </c>
      <c r="E135" s="190" t="s">
        <v>471</v>
      </c>
      <c r="F135" s="194" t="s">
        <v>66</v>
      </c>
      <c r="G135" s="191" t="str">
        <f>IFERROR(VLOOKUP(F135,[2]Реестр!A:K,2,0),"")</f>
        <v>100</v>
      </c>
      <c r="H135" s="192">
        <v>25</v>
      </c>
      <c r="I135" s="193">
        <v>2.25</v>
      </c>
      <c r="J135" s="180"/>
      <c r="K135" s="163"/>
    </row>
    <row r="136" spans="1:11" s="160" customFormat="1" ht="18.75" x14ac:dyDescent="0.3">
      <c r="A136" s="189">
        <v>2.64</v>
      </c>
      <c r="B136" s="189">
        <v>0.48</v>
      </c>
      <c r="C136" s="189">
        <v>13.36</v>
      </c>
      <c r="D136" s="189">
        <v>77.2</v>
      </c>
      <c r="E136" s="190" t="s">
        <v>471</v>
      </c>
      <c r="F136" s="194" t="s">
        <v>65</v>
      </c>
      <c r="G136" s="191" t="str">
        <f>IFERROR(VLOOKUP(F136,[2]Реестр!A:K,2,0),"")</f>
        <v>100</v>
      </c>
      <c r="H136" s="192">
        <v>20</v>
      </c>
      <c r="I136" s="193">
        <v>1.8</v>
      </c>
      <c r="J136" s="180"/>
      <c r="K136" s="163"/>
    </row>
    <row r="137" spans="1:11" s="160" customFormat="1" ht="18.75" hidden="1" x14ac:dyDescent="0.3">
      <c r="A137" s="189"/>
      <c r="B137" s="189"/>
      <c r="C137" s="189"/>
      <c r="D137" s="189"/>
      <c r="E137" s="195"/>
      <c r="F137" s="194"/>
      <c r="G137" s="191"/>
      <c r="H137" s="192"/>
      <c r="I137" s="193"/>
      <c r="J137" s="180"/>
      <c r="K137" s="163"/>
    </row>
    <row r="138" spans="1:11" s="160" customFormat="1" ht="18.75" x14ac:dyDescent="0.3">
      <c r="A138" s="498" t="s">
        <v>16</v>
      </c>
      <c r="B138" s="499"/>
      <c r="C138" s="499"/>
      <c r="D138" s="499"/>
      <c r="E138" s="499"/>
      <c r="F138" s="500"/>
      <c r="G138" s="164"/>
      <c r="H138" s="149"/>
      <c r="I138" s="150">
        <f>SUM(I131:I137)</f>
        <v>162.94999999999999</v>
      </c>
      <c r="J138" s="334">
        <f>162.95-I138</f>
        <v>0</v>
      </c>
      <c r="K138" s="163"/>
    </row>
    <row r="139" spans="1:11" s="160" customFormat="1" ht="18.75" x14ac:dyDescent="0.3">
      <c r="A139" s="463" t="s">
        <v>597</v>
      </c>
      <c r="B139" s="463"/>
      <c r="C139" s="463"/>
      <c r="D139" s="463"/>
      <c r="E139" s="463"/>
      <c r="F139" s="463"/>
      <c r="G139" s="463"/>
      <c r="H139" s="463"/>
      <c r="I139" s="463"/>
      <c r="J139" s="334"/>
      <c r="K139" s="163"/>
    </row>
    <row r="140" spans="1:11" s="160" customFormat="1" ht="18.75" x14ac:dyDescent="0.3">
      <c r="A140" s="168">
        <v>7.7</v>
      </c>
      <c r="B140" s="168">
        <v>7.42</v>
      </c>
      <c r="C140" s="168">
        <v>32.090000000000003</v>
      </c>
      <c r="D140" s="168">
        <v>225.88</v>
      </c>
      <c r="E140" s="169" t="s">
        <v>408</v>
      </c>
      <c r="F140" s="277" t="s">
        <v>605</v>
      </c>
      <c r="G140" s="153" t="str">
        <f>IFERROR(VLOOKUP(F140,[2]Реестр!A:K,2,0),"")</f>
        <v/>
      </c>
      <c r="H140" s="149">
        <v>100</v>
      </c>
      <c r="I140" s="207">
        <v>42</v>
      </c>
      <c r="J140" s="334"/>
      <c r="K140" s="163"/>
    </row>
    <row r="141" spans="1:11" s="160" customFormat="1" ht="18.75" x14ac:dyDescent="0.3">
      <c r="A141" s="341">
        <v>0.18</v>
      </c>
      <c r="B141" s="341">
        <v>0.04</v>
      </c>
      <c r="C141" s="341">
        <v>13.75</v>
      </c>
      <c r="D141" s="341">
        <v>53.136642799999997</v>
      </c>
      <c r="E141" s="342" t="str">
        <f>"11/56"</f>
        <v>11/56</v>
      </c>
      <c r="F141" s="182" t="s">
        <v>649</v>
      </c>
      <c r="G141" s="153" t="str">
        <f>IFERROR(VLOOKUP(F141,[12]Реестр!A:K,2,0),"")</f>
        <v/>
      </c>
      <c r="H141" s="149">
        <v>200</v>
      </c>
      <c r="I141" s="150">
        <v>8</v>
      </c>
      <c r="J141" s="334"/>
      <c r="K141" s="163"/>
    </row>
    <row r="142" spans="1:11" s="160" customFormat="1" ht="18.75" x14ac:dyDescent="0.3">
      <c r="A142" s="494" t="s">
        <v>16</v>
      </c>
      <c r="B142" s="494"/>
      <c r="C142" s="494"/>
      <c r="D142" s="494"/>
      <c r="E142" s="494"/>
      <c r="F142" s="494"/>
      <c r="G142" s="164"/>
      <c r="H142" s="149"/>
      <c r="I142" s="150">
        <f>SUM(I140:I141)</f>
        <v>50</v>
      </c>
      <c r="J142" s="334"/>
      <c r="K142" s="163"/>
    </row>
    <row r="143" spans="1:11" s="160" customFormat="1" ht="18.75" x14ac:dyDescent="0.3">
      <c r="A143" s="463" t="s">
        <v>655</v>
      </c>
      <c r="B143" s="463"/>
      <c r="C143" s="463"/>
      <c r="D143" s="463"/>
      <c r="E143" s="463"/>
      <c r="F143" s="463"/>
      <c r="G143" s="463"/>
      <c r="H143" s="463"/>
      <c r="I143" s="463"/>
      <c r="J143" s="334"/>
      <c r="K143" s="163"/>
    </row>
    <row r="144" spans="1:11" s="160" customFormat="1" ht="18.75" x14ac:dyDescent="0.3">
      <c r="A144" s="151">
        <v>8.9166666666666661</v>
      </c>
      <c r="B144" s="151">
        <v>7.75</v>
      </c>
      <c r="C144" s="151">
        <v>19.5</v>
      </c>
      <c r="D144" s="151">
        <v>185</v>
      </c>
      <c r="E144" s="152" t="s">
        <v>213</v>
      </c>
      <c r="F144" s="277" t="s">
        <v>212</v>
      </c>
      <c r="G144" s="153" t="str">
        <f>IFERROR(VLOOKUP(F144,[1]Реестр!A:K,2,0),"")</f>
        <v>300</v>
      </c>
      <c r="H144" s="149">
        <v>250</v>
      </c>
      <c r="I144" s="150">
        <v>42</v>
      </c>
      <c r="J144" s="334"/>
      <c r="K144" s="163"/>
    </row>
    <row r="145" spans="1:11" s="160" customFormat="1" ht="18.75" x14ac:dyDescent="0.3">
      <c r="A145" s="151">
        <v>0.2</v>
      </c>
      <c r="B145" s="151">
        <v>0</v>
      </c>
      <c r="C145" s="151">
        <v>13.7</v>
      </c>
      <c r="D145" s="151">
        <v>53</v>
      </c>
      <c r="E145" s="152" t="s">
        <v>353</v>
      </c>
      <c r="F145" s="277" t="s">
        <v>499</v>
      </c>
      <c r="G145" s="153" t="str">
        <f>IFERROR(VLOOKUP(F145,[2]Реестр!A:K,2,0),"")</f>
        <v>200</v>
      </c>
      <c r="H145" s="149">
        <v>200</v>
      </c>
      <c r="I145" s="150">
        <v>4.38</v>
      </c>
      <c r="J145" s="334"/>
      <c r="K145" s="163"/>
    </row>
    <row r="146" spans="1:11" s="160" customFormat="1" ht="18.75" x14ac:dyDescent="0.3">
      <c r="A146" s="168">
        <v>7.7</v>
      </c>
      <c r="B146" s="168">
        <v>7.42</v>
      </c>
      <c r="C146" s="168">
        <v>32.090000000000003</v>
      </c>
      <c r="D146" s="168">
        <v>225.88</v>
      </c>
      <c r="E146" s="169" t="s">
        <v>408</v>
      </c>
      <c r="F146" s="277" t="s">
        <v>605</v>
      </c>
      <c r="G146" s="153" t="str">
        <f>IFERROR(VLOOKUP(F146,[2]Реестр!A:K,2,0),"")</f>
        <v/>
      </c>
      <c r="H146" s="149">
        <v>100</v>
      </c>
      <c r="I146" s="207">
        <v>42</v>
      </c>
      <c r="J146" s="334"/>
      <c r="K146" s="163"/>
    </row>
    <row r="147" spans="1:11" s="160" customFormat="1" ht="18.75" x14ac:dyDescent="0.3">
      <c r="A147" s="151">
        <f>IFERROR(VLOOKUP(F147,[12]Реестр!A:K,3,0)*H147/G147,"")</f>
        <v>2.1779999999999999</v>
      </c>
      <c r="B147" s="151">
        <f>IFERROR(VLOOKUP(F147,[12]Реестр!A:K,4,0)*H147/G147,"")</f>
        <v>0.19800000000000001</v>
      </c>
      <c r="C147" s="151">
        <f>IFERROR(VLOOKUP(F147,[12]Реестр!A:K,5,0)*H147/G147,"")</f>
        <v>15.443999999999999</v>
      </c>
      <c r="D147" s="151">
        <f>IFERROR(VLOOKUP(F147,[12]Реестр!A:K,6,0)*H147/G147,"")</f>
        <v>73.92</v>
      </c>
      <c r="E147" s="343" t="s">
        <v>471</v>
      </c>
      <c r="F147" s="162" t="s">
        <v>66</v>
      </c>
      <c r="G147" s="153" t="str">
        <f>IFERROR(VLOOKUP(F147,[12]Реестр!A:K,2,0),"")</f>
        <v>100</v>
      </c>
      <c r="H147" s="149">
        <v>33</v>
      </c>
      <c r="I147" s="150">
        <v>2.92</v>
      </c>
      <c r="J147" s="334"/>
      <c r="K147" s="163"/>
    </row>
    <row r="148" spans="1:11" s="160" customFormat="1" ht="18.75" x14ac:dyDescent="0.3">
      <c r="A148" s="151">
        <f>IFERROR(VLOOKUP(F148,[2]Реестр!A:K,3,0)*H148/G148,"")</f>
        <v>1.98</v>
      </c>
      <c r="B148" s="151">
        <f>IFERROR(VLOOKUP(F148,[2]Реестр!A:K,4,0)*H148/G148,"")</f>
        <v>0.36</v>
      </c>
      <c r="C148" s="151">
        <f>IFERROR(VLOOKUP(F148,[2]Реестр!A:K,5,0)*H148/G148,"")</f>
        <v>10.02</v>
      </c>
      <c r="D148" s="151">
        <f>IFERROR(VLOOKUP(F148,[2]Реестр!A:K,6,0)*H148/G148,"")</f>
        <v>57.9</v>
      </c>
      <c r="E148" s="277" t="str">
        <f>"-"</f>
        <v>-</v>
      </c>
      <c r="F148" s="162" t="s">
        <v>65</v>
      </c>
      <c r="G148" s="153" t="str">
        <f>IFERROR(VLOOKUP(F148,[2]Реестр!A:K,2,0),"")</f>
        <v>100</v>
      </c>
      <c r="H148" s="149">
        <v>30</v>
      </c>
      <c r="I148" s="150">
        <v>2.7</v>
      </c>
      <c r="J148" s="334"/>
      <c r="K148" s="163"/>
    </row>
    <row r="149" spans="1:11" s="160" customFormat="1" ht="18.75" x14ac:dyDescent="0.3">
      <c r="A149" s="498" t="s">
        <v>16</v>
      </c>
      <c r="B149" s="499"/>
      <c r="C149" s="499"/>
      <c r="D149" s="499"/>
      <c r="E149" s="499"/>
      <c r="F149" s="500"/>
      <c r="G149" s="164"/>
      <c r="H149" s="149"/>
      <c r="I149" s="150">
        <f>SUM(I144:I148)</f>
        <v>94</v>
      </c>
      <c r="J149" s="334">
        <f>94-I149</f>
        <v>0</v>
      </c>
      <c r="K149" s="163"/>
    </row>
    <row r="150" spans="1:11" s="160" customFormat="1" ht="18.75" x14ac:dyDescent="0.3">
      <c r="A150" s="463" t="s">
        <v>656</v>
      </c>
      <c r="B150" s="463"/>
      <c r="C150" s="463"/>
      <c r="D150" s="463"/>
      <c r="E150" s="463"/>
      <c r="F150" s="463"/>
      <c r="G150" s="463"/>
      <c r="H150" s="463"/>
      <c r="I150" s="463"/>
      <c r="J150" s="334"/>
      <c r="K150" s="163"/>
    </row>
    <row r="151" spans="1:11" s="160" customFormat="1" ht="18.75" x14ac:dyDescent="0.25">
      <c r="A151" s="151">
        <v>20.9</v>
      </c>
      <c r="B151" s="151">
        <v>3.6</v>
      </c>
      <c r="C151" s="151">
        <v>6.6</v>
      </c>
      <c r="D151" s="151">
        <v>114</v>
      </c>
      <c r="E151" s="152" t="s">
        <v>626</v>
      </c>
      <c r="F151" s="277" t="s">
        <v>627</v>
      </c>
      <c r="G151" s="153" t="str">
        <f>IFERROR(VLOOKUP(F151,[1]Реестр!A:K,2,0),"")</f>
        <v/>
      </c>
      <c r="H151" s="152">
        <v>35</v>
      </c>
      <c r="I151" s="157">
        <v>8.67</v>
      </c>
      <c r="J151" s="334"/>
      <c r="K151" s="163"/>
    </row>
    <row r="152" spans="1:11" s="160" customFormat="1" ht="18.75" x14ac:dyDescent="0.3">
      <c r="A152" s="151">
        <v>21.712499999999999</v>
      </c>
      <c r="B152" s="151">
        <v>11.317500000000001</v>
      </c>
      <c r="C152" s="151">
        <v>38.486249999999998</v>
      </c>
      <c r="D152" s="151">
        <v>342.65249999999997</v>
      </c>
      <c r="E152" s="152" t="s">
        <v>630</v>
      </c>
      <c r="F152" s="277" t="s">
        <v>631</v>
      </c>
      <c r="G152" s="153" t="str">
        <f>IFERROR(VLOOKUP(F152,[2]Реестр!A:K,2,0),"")</f>
        <v/>
      </c>
      <c r="H152" s="149">
        <v>220</v>
      </c>
      <c r="I152" s="150">
        <v>96.4</v>
      </c>
      <c r="J152" s="334"/>
      <c r="K152" s="163"/>
    </row>
    <row r="153" spans="1:11" s="160" customFormat="1" ht="18.75" x14ac:dyDescent="0.3">
      <c r="A153" s="151">
        <v>0.2</v>
      </c>
      <c r="B153" s="151">
        <v>0</v>
      </c>
      <c r="C153" s="151">
        <v>13.7</v>
      </c>
      <c r="D153" s="151">
        <v>53</v>
      </c>
      <c r="E153" s="152" t="s">
        <v>353</v>
      </c>
      <c r="F153" s="277" t="s">
        <v>499</v>
      </c>
      <c r="G153" s="153" t="str">
        <f>IFERROR(VLOOKUP(F153,[2]Реестр!A:K,2,0),"")</f>
        <v>200</v>
      </c>
      <c r="H153" s="149">
        <v>200</v>
      </c>
      <c r="I153" s="150">
        <v>4.38</v>
      </c>
      <c r="J153" s="334"/>
      <c r="K153" s="163"/>
    </row>
    <row r="154" spans="1:11" s="160" customFormat="1" ht="18.75" x14ac:dyDescent="0.3">
      <c r="A154" s="151">
        <v>2.64</v>
      </c>
      <c r="B154" s="151">
        <v>0.24</v>
      </c>
      <c r="C154" s="151">
        <v>18.72</v>
      </c>
      <c r="D154" s="151">
        <v>89.6</v>
      </c>
      <c r="E154" s="152" t="s">
        <v>471</v>
      </c>
      <c r="F154" s="162" t="s">
        <v>66</v>
      </c>
      <c r="G154" s="153" t="str">
        <f>IFERROR(VLOOKUP(F154,[2]Реестр!A:K,2,0),"")</f>
        <v>100</v>
      </c>
      <c r="H154" s="149">
        <v>50</v>
      </c>
      <c r="I154" s="150">
        <v>4.5</v>
      </c>
      <c r="J154" s="334"/>
      <c r="K154" s="163"/>
    </row>
    <row r="155" spans="1:11" s="160" customFormat="1" ht="18.75" x14ac:dyDescent="0.3">
      <c r="A155" s="151">
        <v>2.64</v>
      </c>
      <c r="B155" s="151">
        <v>0.48</v>
      </c>
      <c r="C155" s="151">
        <v>13.36</v>
      </c>
      <c r="D155" s="151">
        <v>77.2</v>
      </c>
      <c r="E155" s="152" t="s">
        <v>471</v>
      </c>
      <c r="F155" s="162" t="s">
        <v>65</v>
      </c>
      <c r="G155" s="153" t="str">
        <f>IFERROR(VLOOKUP(F155,[2]Реестр!A:K,2,0),"")</f>
        <v>100</v>
      </c>
      <c r="H155" s="149">
        <v>44</v>
      </c>
      <c r="I155" s="150">
        <v>4.05</v>
      </c>
      <c r="J155" s="334"/>
      <c r="K155" s="163"/>
    </row>
    <row r="156" spans="1:11" s="160" customFormat="1" ht="18.75" x14ac:dyDescent="0.3">
      <c r="A156" s="168">
        <v>7.7</v>
      </c>
      <c r="B156" s="168">
        <v>7.42</v>
      </c>
      <c r="C156" s="168">
        <v>32.090000000000003</v>
      </c>
      <c r="D156" s="168">
        <v>225.88</v>
      </c>
      <c r="E156" s="169" t="s">
        <v>408</v>
      </c>
      <c r="F156" s="277" t="s">
        <v>605</v>
      </c>
      <c r="G156" s="153" t="str">
        <f>IFERROR(VLOOKUP(F156,[2]Реестр!A:K,2,0),"")</f>
        <v/>
      </c>
      <c r="H156" s="149">
        <v>100</v>
      </c>
      <c r="I156" s="207">
        <v>42</v>
      </c>
      <c r="J156" s="334"/>
      <c r="K156" s="163"/>
    </row>
    <row r="157" spans="1:11" s="160" customFormat="1" ht="18.75" x14ac:dyDescent="0.3">
      <c r="A157" s="494" t="s">
        <v>16</v>
      </c>
      <c r="B157" s="494"/>
      <c r="C157" s="494"/>
      <c r="D157" s="494"/>
      <c r="E157" s="494"/>
      <c r="F157" s="494"/>
      <c r="G157" s="164"/>
      <c r="H157" s="149"/>
      <c r="I157" s="150">
        <f>SUM(I151:I156)</f>
        <v>160</v>
      </c>
      <c r="J157" s="334">
        <f>160-I157</f>
        <v>0</v>
      </c>
      <c r="K157" s="163"/>
    </row>
    <row r="158" spans="1:11" s="160" customFormat="1" ht="18.75" x14ac:dyDescent="0.3">
      <c r="A158" s="463" t="s">
        <v>657</v>
      </c>
      <c r="B158" s="463"/>
      <c r="C158" s="463"/>
      <c r="D158" s="463"/>
      <c r="E158" s="463"/>
      <c r="F158" s="463"/>
      <c r="G158" s="463"/>
      <c r="H158" s="463"/>
      <c r="I158" s="463"/>
      <c r="J158" s="334"/>
      <c r="K158" s="163"/>
    </row>
    <row r="159" spans="1:11" s="160" customFormat="1" ht="18.75" x14ac:dyDescent="0.3">
      <c r="A159" s="345">
        <v>19.100000000000001</v>
      </c>
      <c r="B159" s="345">
        <v>3.1</v>
      </c>
      <c r="C159" s="345">
        <v>8.3000000000000007</v>
      </c>
      <c r="D159" s="345">
        <v>138</v>
      </c>
      <c r="E159" s="342" t="s">
        <v>659</v>
      </c>
      <c r="F159" s="334" t="s">
        <v>658</v>
      </c>
      <c r="G159" s="153" t="str">
        <f>IFERROR(VLOOKUP(F159,[2]Реестр!A:K,2,0),"")</f>
        <v/>
      </c>
      <c r="H159" s="149">
        <v>100</v>
      </c>
      <c r="I159" s="150">
        <v>88.9</v>
      </c>
      <c r="J159" s="334"/>
      <c r="K159" s="163"/>
    </row>
    <row r="160" spans="1:11" s="160" customFormat="1" ht="18.75" x14ac:dyDescent="0.3">
      <c r="A160" s="345">
        <v>2.2000000000000002</v>
      </c>
      <c r="B160" s="345">
        <v>2.8</v>
      </c>
      <c r="C160" s="345">
        <v>14.1</v>
      </c>
      <c r="D160" s="345">
        <v>92</v>
      </c>
      <c r="E160" s="342" t="s">
        <v>191</v>
      </c>
      <c r="F160" s="346" t="s">
        <v>190</v>
      </c>
      <c r="G160" s="153" t="str">
        <f>IFERROR(VLOOKUP(F160,[2]Реестр!A:K,2,0),"")</f>
        <v>100</v>
      </c>
      <c r="H160" s="149">
        <v>180</v>
      </c>
      <c r="I160" s="150">
        <v>32.229999999999997</v>
      </c>
      <c r="J160" s="334" t="s">
        <v>658</v>
      </c>
      <c r="K160" s="163"/>
    </row>
    <row r="161" spans="1:11" s="160" customFormat="1" ht="18.75" x14ac:dyDescent="0.3">
      <c r="A161" s="344">
        <v>0.2</v>
      </c>
      <c r="B161" s="344">
        <v>0</v>
      </c>
      <c r="C161" s="344">
        <v>13.7</v>
      </c>
      <c r="D161" s="344">
        <v>53</v>
      </c>
      <c r="E161" s="342">
        <v>11335</v>
      </c>
      <c r="F161" s="277" t="s">
        <v>352</v>
      </c>
      <c r="G161" s="153">
        <f>IFERROR(VLOOKUP(F161,[2]Реестр!A:K,2,0),"")</f>
        <v>200</v>
      </c>
      <c r="H161" s="149">
        <v>200</v>
      </c>
      <c r="I161" s="150">
        <v>3.38</v>
      </c>
      <c r="J161" s="334"/>
      <c r="K161" s="163"/>
    </row>
    <row r="162" spans="1:11" s="160" customFormat="1" ht="18.75" x14ac:dyDescent="0.3">
      <c r="A162" s="151">
        <f>IFERROR(VLOOKUP(F162,[2]Реестр!A:K,3,0)*H162/G162,"")</f>
        <v>1.65</v>
      </c>
      <c r="B162" s="151">
        <f>IFERROR(VLOOKUP(F162,[2]Реестр!A:K,4,0)*H162/G162,"")</f>
        <v>0.15</v>
      </c>
      <c r="C162" s="151">
        <f>IFERROR(VLOOKUP(F162,[2]Реестр!A:K,5,0)*H162/G162,"")</f>
        <v>11.7</v>
      </c>
      <c r="D162" s="151">
        <f>IFERROR(VLOOKUP(F162,[2]Реестр!A:K,6,0)*H162/G162,"")</f>
        <v>56</v>
      </c>
      <c r="E162" s="342">
        <v>11335</v>
      </c>
      <c r="F162" s="162" t="s">
        <v>66</v>
      </c>
      <c r="G162" s="153" t="str">
        <f>IFERROR(VLOOKUP(F162,[2]Реестр!A:K,2,0),"")</f>
        <v>100</v>
      </c>
      <c r="H162" s="149">
        <v>25</v>
      </c>
      <c r="I162" s="150">
        <v>2.25</v>
      </c>
      <c r="J162" s="334"/>
      <c r="K162" s="163"/>
    </row>
    <row r="163" spans="1:11" s="160" customFormat="1" ht="18.75" x14ac:dyDescent="0.3">
      <c r="A163" s="272">
        <v>2.64</v>
      </c>
      <c r="B163" s="272">
        <v>0.48</v>
      </c>
      <c r="C163" s="272">
        <v>16.68</v>
      </c>
      <c r="D163" s="272">
        <v>77.352000000000004</v>
      </c>
      <c r="E163" s="342">
        <v>11336</v>
      </c>
      <c r="F163" s="162" t="s">
        <v>65</v>
      </c>
      <c r="G163" s="153" t="str">
        <f>IFERROR(VLOOKUP(F163,[2]Реестр!A:K,2,0),"")</f>
        <v>100</v>
      </c>
      <c r="H163" s="149">
        <v>20</v>
      </c>
      <c r="I163" s="150">
        <v>1.8</v>
      </c>
      <c r="J163" s="334"/>
      <c r="K163" s="163"/>
    </row>
    <row r="164" spans="1:11" s="160" customFormat="1" ht="18.75" x14ac:dyDescent="0.3">
      <c r="A164" s="151"/>
      <c r="B164" s="151"/>
      <c r="C164" s="151"/>
      <c r="D164" s="151"/>
      <c r="E164" s="277"/>
      <c r="F164" s="162"/>
      <c r="G164" s="153"/>
      <c r="H164" s="149"/>
      <c r="I164" s="150"/>
      <c r="J164" s="334"/>
      <c r="K164" s="163"/>
    </row>
    <row r="165" spans="1:11" s="160" customFormat="1" ht="18.75" x14ac:dyDescent="0.3">
      <c r="A165" s="498" t="s">
        <v>16</v>
      </c>
      <c r="B165" s="499"/>
      <c r="C165" s="499"/>
      <c r="D165" s="499"/>
      <c r="E165" s="499"/>
      <c r="F165" s="500"/>
      <c r="G165" s="164"/>
      <c r="H165" s="149"/>
      <c r="I165" s="150">
        <f>SUM(I159:I164)</f>
        <v>128.56</v>
      </c>
      <c r="J165" s="334">
        <f>128.56-I165</f>
        <v>0</v>
      </c>
      <c r="K165" s="163"/>
    </row>
    <row r="166" spans="1:11" s="180" customFormat="1" ht="18.75" x14ac:dyDescent="0.3">
      <c r="B166" s="182"/>
      <c r="C166" s="183"/>
      <c r="D166" s="183"/>
      <c r="E166" s="183"/>
      <c r="F166" s="184" t="s">
        <v>37</v>
      </c>
      <c r="G166" s="185"/>
      <c r="H166" s="186"/>
      <c r="I166" s="335" t="s">
        <v>653</v>
      </c>
      <c r="K166" s="160"/>
    </row>
    <row r="167" spans="1:11" s="160" customFormat="1" x14ac:dyDescent="0.25">
      <c r="A167" s="180"/>
      <c r="B167" s="182"/>
      <c r="C167" s="183"/>
      <c r="D167" s="183"/>
      <c r="E167" s="183"/>
      <c r="F167" s="183"/>
      <c r="G167" s="183"/>
      <c r="H167" s="183"/>
      <c r="I167" s="183"/>
      <c r="J167" s="180"/>
    </row>
    <row r="168" spans="1:11" s="160" customFormat="1" x14ac:dyDescent="0.25">
      <c r="A168" s="180"/>
      <c r="B168" s="182"/>
      <c r="C168" s="183"/>
      <c r="D168" s="183"/>
      <c r="E168" s="183"/>
      <c r="F168" s="183"/>
      <c r="G168" s="183"/>
      <c r="H168" s="183"/>
      <c r="I168" s="183"/>
      <c r="J168" s="180"/>
    </row>
    <row r="169" spans="1:11" s="160" customFormat="1" x14ac:dyDescent="0.25">
      <c r="A169" s="180"/>
      <c r="B169" s="182"/>
      <c r="C169" s="183"/>
      <c r="D169" s="183"/>
      <c r="E169" s="183"/>
      <c r="F169" s="183"/>
      <c r="G169" s="183"/>
      <c r="H169" s="183"/>
      <c r="I169" s="183"/>
      <c r="J169" s="180"/>
    </row>
  </sheetData>
  <autoFilter ref="A4:I93" xr:uid="{00000000-0009-0000-0000-000012000000}"/>
  <mergeCells count="62"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  <mergeCell ref="J4:J5"/>
    <mergeCell ref="A6:I6"/>
    <mergeCell ref="A12:F12"/>
    <mergeCell ref="A13:I13"/>
    <mergeCell ref="G4:G5"/>
    <mergeCell ref="H4:H5"/>
    <mergeCell ref="A70:F70"/>
    <mergeCell ref="A22:I22"/>
    <mergeCell ref="A29:F29"/>
    <mergeCell ref="A30:I30"/>
    <mergeCell ref="A38:F38"/>
    <mergeCell ref="A39:I39"/>
    <mergeCell ref="A40:I40"/>
    <mergeCell ref="A46:I46"/>
    <mergeCell ref="A54:F54"/>
    <mergeCell ref="A55:I55"/>
    <mergeCell ref="A56:I56"/>
    <mergeCell ref="A62:I62"/>
    <mergeCell ref="A101:I101"/>
    <mergeCell ref="A71:I71"/>
    <mergeCell ref="A78:F78"/>
    <mergeCell ref="A79:I79"/>
    <mergeCell ref="A81:F81"/>
    <mergeCell ref="A82:I82"/>
    <mergeCell ref="A84:F84"/>
    <mergeCell ref="A85:I85"/>
    <mergeCell ref="A93:F93"/>
    <mergeCell ref="A94:I94"/>
    <mergeCell ref="I95:I99"/>
    <mergeCell ref="A100:F100"/>
    <mergeCell ref="A138:F138"/>
    <mergeCell ref="I102:I107"/>
    <mergeCell ref="A108:F108"/>
    <mergeCell ref="A109:I109"/>
    <mergeCell ref="I110:I116"/>
    <mergeCell ref="A117:F117"/>
    <mergeCell ref="A118:I118"/>
    <mergeCell ref="I119:I125"/>
    <mergeCell ref="A126:F126"/>
    <mergeCell ref="A127:I127"/>
    <mergeCell ref="A129:F129"/>
    <mergeCell ref="A130:I130"/>
    <mergeCell ref="A158:I158"/>
    <mergeCell ref="A165:F165"/>
    <mergeCell ref="A139:I139"/>
    <mergeCell ref="A142:F142"/>
    <mergeCell ref="A143:I143"/>
    <mergeCell ref="A149:F149"/>
    <mergeCell ref="A150:I150"/>
    <mergeCell ref="A157:F157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1200-000000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F114 F123</xm:sqref>
        </x14:dataValidation>
        <x14:dataValidation type="list" allowBlank="1" showInputMessage="1" showErrorMessage="1" xr:uid="{00000000-0002-0000-1200-000001000000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F19 F27:F28 F36 F52 F68 F76:F77 F91 F136 F60:F61 F10:F11 F98:F99 F105:F106 F44:F45 F155</xm:sqref>
        </x14:dataValidation>
        <x14:dataValidation type="list" allowBlank="1" showInputMessage="1" showErrorMessage="1" xr:uid="{00000000-0002-0000-1200-000002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F14:F16 F24 F31:F33 F47:F49 F63:F65 F73 F86:F88 F83 F110 F119 F132:F133 F144 F152</xm:sqref>
        </x14:dataValidation>
        <x14:dataValidation type="list" allowBlank="1" showInputMessage="1" showErrorMessage="1" xr:uid="{00000000-0002-0000-1200-000003000000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F20 F37 F53 F69 F92 F115 F124:F125 F137 F148 F163:F164</xm:sqref>
        </x14:dataValidation>
        <x14:dataValidation type="list" allowBlank="1" showInputMessage="1" showErrorMessage="1" xr:uid="{00000000-0002-0000-1200-00000400000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F19 F27:F28 F36 F52 F68 F76:F77 F91 F136 F60:F61 F10:F11 F98:F99 F105:F106 F44:F45 F155</xm:sqref>
        </x14:dataValidation>
        <x14:dataValidation type="list" allowBlank="1" showInputMessage="1" showErrorMessage="1" xr:uid="{00000000-0002-0000-1200-000005000000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F17:F18 F25:F26 F34:F35 F50:F51 F66:F67 F74:F75 F89:F90 F111:F113 F120:F122 F134:F135 F147 F145 F153:F154 F102:F104 F116 F7:F9 F41:F43 F57:F59 F95:F97 F107</xm:sqref>
        </x14:dataValidation>
        <x14:dataValidation type="list" allowBlank="1" showInputMessage="1" showErrorMessage="1" xr:uid="{00000000-0002-0000-1200-000006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F23 F72 F80 F131 F140 F146 F151 F156</xm:sqref>
        </x14:dataValidation>
        <x14:dataValidation type="list" allowBlank="1" showInputMessage="1" showErrorMessage="1" xr:uid="{00000000-0002-0000-1200-000007000000}">
          <x14:formula1>
            <xm:f>'\\10.54.90.100\Private\Общая\Соцпитание\Технологические карты (мои школьные)\Школьное питание\АИС\Меню на доски (формат PDF)\Октябрь 2022\17.10 н2д1\[17.10.xlsm]Реестр'!#REF!</xm:f>
          </x14:formula1>
          <x14:formula2>
            <xm:f>0</xm:f>
          </x14:formula2>
          <xm:sqref>F128</xm:sqref>
        </x14:dataValidation>
        <x14:dataValidation type="list" allowBlank="1" showInputMessage="1" showErrorMessage="1" xr:uid="{00000000-0002-0000-1200-000009000000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F160:F162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1DF1E-85EE-41CB-BB03-056D3E23B52D}">
  <sheetPr codeName="Лист37">
    <pageSetUpPr fitToPage="1"/>
  </sheetPr>
  <dimension ref="A1:L167"/>
  <sheetViews>
    <sheetView view="pageBreakPreview" zoomScaleNormal="100" zoomScaleSheetLayoutView="100" workbookViewId="0">
      <selection activeCell="A160" sqref="A160:XFD165"/>
    </sheetView>
  </sheetViews>
  <sheetFormatPr defaultRowHeight="15.75" x14ac:dyDescent="0.25"/>
  <cols>
    <col min="1" max="1" width="11.28515625" style="215" customWidth="1"/>
    <col min="2" max="2" width="11.28515625" style="252" customWidth="1"/>
    <col min="3" max="3" width="10.5703125" style="253" customWidth="1"/>
    <col min="4" max="4" width="10.28515625" style="253" customWidth="1"/>
    <col min="5" max="5" width="14" style="253" customWidth="1"/>
    <col min="6" max="6" width="57.85546875" style="253" customWidth="1"/>
    <col min="7" max="7" width="17.85546875" style="253" hidden="1" customWidth="1"/>
    <col min="8" max="9" width="15.5703125" style="253" customWidth="1"/>
    <col min="10" max="10" width="25.5703125" style="215" customWidth="1"/>
    <col min="11" max="1025" width="8.7109375" style="202" customWidth="1"/>
    <col min="1026" max="16384" width="9.140625" style="202"/>
  </cols>
  <sheetData>
    <row r="1" spans="1:12" s="234" customFormat="1" ht="29.25" customHeight="1" x14ac:dyDescent="0.25">
      <c r="A1" s="490"/>
      <c r="B1" s="490"/>
      <c r="C1" s="224"/>
      <c r="D1" s="224"/>
      <c r="E1" s="224"/>
      <c r="F1" s="226" t="s">
        <v>618</v>
      </c>
      <c r="G1" s="226"/>
      <c r="H1" s="436" t="s">
        <v>0</v>
      </c>
      <c r="I1" s="436"/>
    </row>
    <row r="2" spans="1:12" s="234" customFormat="1" ht="29.25" customHeight="1" x14ac:dyDescent="0.25">
      <c r="A2" s="235"/>
      <c r="B2" s="235"/>
      <c r="C2" s="259"/>
      <c r="D2" s="259"/>
      <c r="E2" s="259"/>
      <c r="F2" s="231" t="s">
        <v>661</v>
      </c>
      <c r="G2" s="231"/>
      <c r="H2" s="469" t="s">
        <v>662</v>
      </c>
      <c r="I2" s="469"/>
      <c r="J2" s="235"/>
    </row>
    <row r="3" spans="1:12" s="234" customFormat="1" ht="29.25" customHeight="1" x14ac:dyDescent="0.25">
      <c r="A3" s="491"/>
      <c r="B3" s="491"/>
      <c r="C3" s="491"/>
      <c r="D3" s="492"/>
      <c r="E3" s="492"/>
      <c r="F3" s="231" t="s">
        <v>660</v>
      </c>
      <c r="G3" s="226"/>
      <c r="H3" s="493" t="s">
        <v>663</v>
      </c>
      <c r="I3" s="493"/>
    </row>
    <row r="4" spans="1:12" ht="15" customHeight="1" x14ac:dyDescent="0.25">
      <c r="A4" s="472" t="s">
        <v>4</v>
      </c>
      <c r="B4" s="472"/>
      <c r="C4" s="472"/>
      <c r="D4" s="471" t="s">
        <v>5</v>
      </c>
      <c r="E4" s="471" t="s">
        <v>6</v>
      </c>
      <c r="F4" s="471" t="s">
        <v>7</v>
      </c>
      <c r="G4" s="473" t="s">
        <v>8</v>
      </c>
      <c r="H4" s="471" t="s">
        <v>9</v>
      </c>
      <c r="I4" s="471" t="s">
        <v>10</v>
      </c>
      <c r="J4" s="471" t="s">
        <v>11</v>
      </c>
    </row>
    <row r="5" spans="1:12" x14ac:dyDescent="0.25">
      <c r="A5" s="232" t="s">
        <v>12</v>
      </c>
      <c r="B5" s="232" t="s">
        <v>13</v>
      </c>
      <c r="C5" s="232" t="s">
        <v>14</v>
      </c>
      <c r="D5" s="471"/>
      <c r="E5" s="471"/>
      <c r="F5" s="471"/>
      <c r="G5" s="473"/>
      <c r="H5" s="471"/>
      <c r="I5" s="471"/>
      <c r="J5" s="471"/>
    </row>
    <row r="6" spans="1:12" ht="18" customHeight="1" x14ac:dyDescent="0.3">
      <c r="A6" s="462" t="s">
        <v>15</v>
      </c>
      <c r="B6" s="462"/>
      <c r="C6" s="462"/>
      <c r="D6" s="462"/>
      <c r="E6" s="462"/>
      <c r="F6" s="462"/>
      <c r="G6" s="462"/>
      <c r="H6" s="462"/>
      <c r="I6" s="462"/>
      <c r="J6" s="212"/>
    </row>
    <row r="7" spans="1:12" ht="18" customHeight="1" x14ac:dyDescent="0.3">
      <c r="A7" s="209">
        <f>IFERROR(VLOOKUP(F7,[1]Реестр!A:K,3,0)*H7/G7,"")</f>
        <v>3.8</v>
      </c>
      <c r="B7" s="209">
        <f>IFERROR(VLOOKUP(F7,[1]Реестр!A:K,4,0)*H7/G7,"")</f>
        <v>6.6</v>
      </c>
      <c r="C7" s="209">
        <f>IFERROR(VLOOKUP(F7,[1]Реестр!A:K,5,0)*H7/G7,"")</f>
        <v>9.6999999999999993</v>
      </c>
      <c r="D7" s="209">
        <f>IFERROR(VLOOKUP(F7,[1]Реестр!A:K,6,0)*H7/G7,"")</f>
        <v>116</v>
      </c>
      <c r="E7" s="210" t="str">
        <f>IFERROR(VLOOKUP(F7,[1]Реестр!A:K,11,0),"")</f>
        <v>1*58</v>
      </c>
      <c r="F7" s="233" t="s">
        <v>527</v>
      </c>
      <c r="G7" s="211" t="str">
        <f>IFERROR(VLOOKUP(F7,[1]Реестр!A:K,2,0),"")</f>
        <v>35</v>
      </c>
      <c r="H7" s="210">
        <v>35</v>
      </c>
      <c r="I7" s="207">
        <v>26.85</v>
      </c>
      <c r="J7" s="201" t="str">
        <f>IFERROR(VLOOKUP(O7,Реестр!#REF!,3,0)*Q7/P7,"")</f>
        <v/>
      </c>
    </row>
    <row r="8" spans="1:12" ht="18" customHeight="1" x14ac:dyDescent="0.3">
      <c r="A8" s="209">
        <v>9.75</v>
      </c>
      <c r="B8" s="209">
        <v>12.14</v>
      </c>
      <c r="C8" s="209">
        <v>36.06</v>
      </c>
      <c r="D8" s="209">
        <v>291.64</v>
      </c>
      <c r="E8" s="210" t="s">
        <v>133</v>
      </c>
      <c r="F8" s="279" t="s">
        <v>614</v>
      </c>
      <c r="G8" s="211" t="str">
        <f>IFERROR(VLOOKUP(F8,[1]Реестр!A:K,2,0),"")</f>
        <v/>
      </c>
      <c r="H8" s="210">
        <v>230</v>
      </c>
      <c r="I8" s="207">
        <v>38.270000000000003</v>
      </c>
      <c r="J8" s="201" t="str">
        <f>IFERROR(VLOOKUP(O8,Реестр!#REF!,3,0)*Q8/P8,"")</f>
        <v/>
      </c>
    </row>
    <row r="9" spans="1:12" ht="18" customHeight="1" x14ac:dyDescent="0.3">
      <c r="A9" s="209">
        <f>IFERROR(VLOOKUP(F9,[1]Реестр!A:K,3,0)*H9/G9,"")</f>
        <v>0.15</v>
      </c>
      <c r="B9" s="209">
        <f>IFERROR(VLOOKUP(F9,[1]Реестр!A:K,4,0)*H9/G9,"")</f>
        <v>0.09</v>
      </c>
      <c r="C9" s="209">
        <f>IFERROR(VLOOKUP(F9,[1]Реестр!A:K,5,0)*H9/G9,"")</f>
        <v>8.58</v>
      </c>
      <c r="D9" s="209">
        <f>IFERROR(VLOOKUP(F9,[1]Реестр!A:K,6,0)*H9/G9,"")</f>
        <v>34.799999999999997</v>
      </c>
      <c r="E9" s="210" t="str">
        <f>IFERROR(VLOOKUP(F9,[1]Реестр!A:K,11,0),"")</f>
        <v>12*2</v>
      </c>
      <c r="F9" s="279" t="s">
        <v>371</v>
      </c>
      <c r="G9" s="211" t="str">
        <f>IFERROR(VLOOKUP(F9,[1]Реестр!A:K,2,0),"")</f>
        <v>100</v>
      </c>
      <c r="H9" s="210">
        <v>30</v>
      </c>
      <c r="I9" s="207">
        <v>17.559999999999999</v>
      </c>
      <c r="J9" s="201" t="str">
        <f>IFERROR(VLOOKUP(O9,Реестр!#REF!,3,0)*Q9/P9,"")</f>
        <v/>
      </c>
    </row>
    <row r="10" spans="1:12" ht="18" customHeight="1" x14ac:dyDescent="0.3">
      <c r="A10" s="209">
        <f>IFERROR(VLOOKUP(F10,[1]Реестр!A:K,3,0)*H10/G10,"")</f>
        <v>3.6</v>
      </c>
      <c r="B10" s="209">
        <f>IFERROR(VLOOKUP(F10,[1]Реестр!A:K,4,0)*H10/G10,"")</f>
        <v>2.7</v>
      </c>
      <c r="C10" s="209">
        <f>IFERROR(VLOOKUP(F10,[1]Реестр!A:K,5,0)*H10/G10,"")</f>
        <v>22.9</v>
      </c>
      <c r="D10" s="209">
        <f>IFERROR(VLOOKUP(F10,[1]Реестр!A:K,6,0)*H10/G10,"")</f>
        <v>127</v>
      </c>
      <c r="E10" s="210" t="str">
        <f>IFERROR(VLOOKUP(F10,[1]Реестр!A:K,11,0),"")</f>
        <v>11*51</v>
      </c>
      <c r="F10" s="279" t="s">
        <v>342</v>
      </c>
      <c r="G10" s="211">
        <f>IFERROR(VLOOKUP(F10,[1]Реестр!A:K,2,0),"")</f>
        <v>200</v>
      </c>
      <c r="H10" s="206">
        <v>200</v>
      </c>
      <c r="I10" s="207">
        <v>24.16</v>
      </c>
      <c r="J10" s="201" t="str">
        <f>IFERROR(VLOOKUP(O10,Реестр!#REF!,3,0)*Q10/P10,"")</f>
        <v/>
      </c>
    </row>
    <row r="11" spans="1:12" ht="18.75" x14ac:dyDescent="0.3">
      <c r="A11" s="209">
        <f>IFERROR(VLOOKUP(F11,[1]Реестр!A:K,3,0)*H11/G11,"")</f>
        <v>1.32</v>
      </c>
      <c r="B11" s="209">
        <f>IFERROR(VLOOKUP(F11,[1]Реестр!A:K,4,0)*H11/G11,"")</f>
        <v>0.24</v>
      </c>
      <c r="C11" s="209">
        <f>IFERROR(VLOOKUP(F11,[1]Реестр!A:K,5,0)*H11/G11,"")</f>
        <v>6.68</v>
      </c>
      <c r="D11" s="209">
        <f>IFERROR(VLOOKUP(F11,[1]Реестр!A:K,6,0)*H11/G11,"")</f>
        <v>38.6</v>
      </c>
      <c r="E11" s="210" t="str">
        <f>IFERROR(VLOOKUP(F11,[1]Реестр!A:K,11,0),"")</f>
        <v>-</v>
      </c>
      <c r="F11" s="217" t="s">
        <v>65</v>
      </c>
      <c r="G11" s="211" t="str">
        <f>IFERROR(VLOOKUP(F11,[1]Реестр!A:K,2,0),"")</f>
        <v>100</v>
      </c>
      <c r="H11" s="206">
        <v>20</v>
      </c>
      <c r="I11" s="207">
        <v>1.8</v>
      </c>
      <c r="J11" s="206"/>
      <c r="K11" s="208"/>
    </row>
    <row r="12" spans="1:12" ht="18" customHeight="1" x14ac:dyDescent="0.3">
      <c r="A12" s="464" t="s">
        <v>16</v>
      </c>
      <c r="B12" s="464"/>
      <c r="C12" s="464"/>
      <c r="D12" s="464"/>
      <c r="E12" s="464"/>
      <c r="F12" s="464"/>
      <c r="G12" s="205"/>
      <c r="H12" s="206"/>
      <c r="I12" s="207">
        <f>SUM(I7:I11)</f>
        <v>108.64</v>
      </c>
      <c r="J12" s="206">
        <v>108.64</v>
      </c>
      <c r="K12" s="208">
        <f>I12-J12</f>
        <v>0</v>
      </c>
      <c r="L12" s="208"/>
    </row>
    <row r="13" spans="1:12" ht="18" customHeight="1" x14ac:dyDescent="0.3">
      <c r="A13" s="462" t="s">
        <v>17</v>
      </c>
      <c r="B13" s="462"/>
      <c r="C13" s="462"/>
      <c r="D13" s="462"/>
      <c r="E13" s="462"/>
      <c r="F13" s="462"/>
      <c r="G13" s="462"/>
      <c r="H13" s="462"/>
      <c r="I13" s="462"/>
      <c r="J13" s="212"/>
    </row>
    <row r="14" spans="1:12" ht="18.75" x14ac:dyDescent="0.3">
      <c r="A14" s="279">
        <v>14.01</v>
      </c>
      <c r="B14" s="209">
        <v>6.2079999999999993</v>
      </c>
      <c r="C14" s="209">
        <v>12.072000000000001</v>
      </c>
      <c r="D14" s="209">
        <v>117.68388800000001</v>
      </c>
      <c r="E14" s="210" t="s">
        <v>628</v>
      </c>
      <c r="F14" s="279" t="s">
        <v>629</v>
      </c>
      <c r="G14" s="211" t="str">
        <f>IFERROR(VLOOKUP(F14,[2]Реестр!A:K,2,0),"")</f>
        <v/>
      </c>
      <c r="H14" s="210">
        <v>80</v>
      </c>
      <c r="I14" s="230">
        <v>21.73</v>
      </c>
      <c r="J14" s="201" t="str">
        <f>IFERROR(VLOOKUP(O14,Реестр!#REF!,3,0)*Q14/P14,"")</f>
        <v/>
      </c>
    </row>
    <row r="15" spans="1:12" ht="18" customHeight="1" x14ac:dyDescent="0.3">
      <c r="A15" s="209">
        <v>8.9166666666666661</v>
      </c>
      <c r="B15" s="209">
        <v>7.75</v>
      </c>
      <c r="C15" s="209">
        <v>19.5</v>
      </c>
      <c r="D15" s="209">
        <v>185</v>
      </c>
      <c r="E15" s="210" t="s">
        <v>213</v>
      </c>
      <c r="F15" s="279" t="s">
        <v>212</v>
      </c>
      <c r="G15" s="211" t="str">
        <f>IFERROR(VLOOKUP(F15,[2]Реестр!A:K,2,0),"")</f>
        <v>300</v>
      </c>
      <c r="H15" s="206">
        <v>250</v>
      </c>
      <c r="I15" s="207">
        <v>42</v>
      </c>
      <c r="J15" s="201" t="str">
        <f>IFERROR(VLOOKUP(O15,Реестр!#REF!,3,0)*Q15/P15,"")</f>
        <v/>
      </c>
    </row>
    <row r="16" spans="1:12" ht="18" customHeight="1" x14ac:dyDescent="0.3">
      <c r="A16" s="209">
        <v>17.37</v>
      </c>
      <c r="B16" s="209">
        <v>9.0540000000000003</v>
      </c>
      <c r="C16" s="209">
        <v>30.789000000000001</v>
      </c>
      <c r="D16" s="209">
        <v>274.12200000000001</v>
      </c>
      <c r="E16" s="210" t="s">
        <v>630</v>
      </c>
      <c r="F16" s="279" t="s">
        <v>631</v>
      </c>
      <c r="G16" s="211" t="str">
        <f>IFERROR(VLOOKUP(F16,[2]Реестр!A:K,2,0),"")</f>
        <v/>
      </c>
      <c r="H16" s="206">
        <v>200</v>
      </c>
      <c r="I16" s="206">
        <v>87.64</v>
      </c>
      <c r="J16" s="201" t="str">
        <f>IFERROR(VLOOKUP(O16,Реестр!#REF!,3,0)*Q16/P16,"")</f>
        <v/>
      </c>
    </row>
    <row r="17" spans="1:12" ht="18" customHeight="1" x14ac:dyDescent="0.3">
      <c r="A17" s="209">
        <v>0.2</v>
      </c>
      <c r="B17" s="209">
        <v>0</v>
      </c>
      <c r="C17" s="209">
        <v>13.7</v>
      </c>
      <c r="D17" s="209">
        <v>53</v>
      </c>
      <c r="E17" s="210" t="s">
        <v>353</v>
      </c>
      <c r="F17" s="279" t="s">
        <v>499</v>
      </c>
      <c r="G17" s="211" t="str">
        <f>IFERROR(VLOOKUP(F17,[2]Реестр!A:K,2,0),"")</f>
        <v>200</v>
      </c>
      <c r="H17" s="206">
        <v>200</v>
      </c>
      <c r="I17" s="207">
        <v>4.38</v>
      </c>
      <c r="J17" s="201"/>
    </row>
    <row r="18" spans="1:12" ht="18" customHeight="1" x14ac:dyDescent="0.3">
      <c r="A18" s="209">
        <v>2.64</v>
      </c>
      <c r="B18" s="209">
        <v>0.24</v>
      </c>
      <c r="C18" s="209">
        <v>18.72</v>
      </c>
      <c r="D18" s="209">
        <v>89.6</v>
      </c>
      <c r="E18" s="210" t="s">
        <v>471</v>
      </c>
      <c r="F18" s="217" t="s">
        <v>66</v>
      </c>
      <c r="G18" s="211" t="str">
        <f>IFERROR(VLOOKUP(F18,[2]Реестр!A:K,2,0),"")</f>
        <v>100</v>
      </c>
      <c r="H18" s="206">
        <v>40</v>
      </c>
      <c r="I18" s="207">
        <v>3.6</v>
      </c>
      <c r="J18" s="201" t="str">
        <f>IFERROR(VLOOKUP(O18,Реестр!#REF!,3,0)*Q18/P18,"")</f>
        <v/>
      </c>
    </row>
    <row r="19" spans="1:12" ht="18" customHeight="1" x14ac:dyDescent="0.3">
      <c r="A19" s="209">
        <v>2.64</v>
      </c>
      <c r="B19" s="209">
        <v>0.48</v>
      </c>
      <c r="C19" s="209">
        <v>13.36</v>
      </c>
      <c r="D19" s="209">
        <v>77.2</v>
      </c>
      <c r="E19" s="210" t="s">
        <v>471</v>
      </c>
      <c r="F19" s="217" t="s">
        <v>65</v>
      </c>
      <c r="G19" s="211" t="str">
        <f>IFERROR(VLOOKUP(F19,[2]Реестр!A:K,2,0),"")</f>
        <v>100</v>
      </c>
      <c r="H19" s="206">
        <v>40</v>
      </c>
      <c r="I19" s="207">
        <v>3.6</v>
      </c>
      <c r="J19" s="201" t="str">
        <f>IFERROR(VLOOKUP(O19,Реестр!#REF!,3,0)*Q19/P19,"")</f>
        <v/>
      </c>
    </row>
    <row r="20" spans="1:12" ht="18" customHeight="1" x14ac:dyDescent="0.3">
      <c r="A20" s="209"/>
      <c r="B20" s="209"/>
      <c r="C20" s="209"/>
      <c r="D20" s="209"/>
      <c r="E20" s="218"/>
      <c r="F20" s="217"/>
      <c r="G20" s="211"/>
      <c r="H20" s="206"/>
      <c r="I20" s="207"/>
      <c r="J20" s="201"/>
    </row>
    <row r="21" spans="1:12" ht="18.75" x14ac:dyDescent="0.3">
      <c r="A21" s="464" t="s">
        <v>16</v>
      </c>
      <c r="B21" s="464"/>
      <c r="C21" s="464"/>
      <c r="D21" s="464"/>
      <c r="E21" s="464"/>
      <c r="F21" s="464"/>
      <c r="G21" s="205"/>
      <c r="H21" s="206"/>
      <c r="I21" s="207">
        <f>SUM(I14:I20)</f>
        <v>162.94999999999999</v>
      </c>
      <c r="J21" s="206">
        <v>162.94999999999999</v>
      </c>
      <c r="K21" s="208">
        <f>J21-I21</f>
        <v>0</v>
      </c>
    </row>
    <row r="22" spans="1:12" ht="18.75" x14ac:dyDescent="0.3">
      <c r="A22" s="462" t="s">
        <v>500</v>
      </c>
      <c r="B22" s="462"/>
      <c r="C22" s="462"/>
      <c r="D22" s="462"/>
      <c r="E22" s="462"/>
      <c r="F22" s="462"/>
      <c r="G22" s="462"/>
      <c r="H22" s="462"/>
      <c r="I22" s="462"/>
      <c r="J22" s="212"/>
    </row>
    <row r="23" spans="1:12" ht="18.75" x14ac:dyDescent="0.25">
      <c r="A23" s="209">
        <v>20.9</v>
      </c>
      <c r="B23" s="209">
        <v>3.6</v>
      </c>
      <c r="C23" s="209">
        <v>6.6</v>
      </c>
      <c r="D23" s="209">
        <v>114</v>
      </c>
      <c r="E23" s="210" t="s">
        <v>626</v>
      </c>
      <c r="F23" s="279" t="s">
        <v>627</v>
      </c>
      <c r="G23" s="211" t="str">
        <f>IFERROR(VLOOKUP(F23,[1]Реестр!A:K,2,0),"")</f>
        <v/>
      </c>
      <c r="H23" s="210">
        <v>30</v>
      </c>
      <c r="I23" s="230">
        <v>7.43</v>
      </c>
      <c r="J23" s="212"/>
    </row>
    <row r="24" spans="1:12" ht="18.75" x14ac:dyDescent="0.3">
      <c r="A24" s="209">
        <v>21.712499999999999</v>
      </c>
      <c r="B24" s="209">
        <v>11.317500000000001</v>
      </c>
      <c r="C24" s="209">
        <v>38.486249999999998</v>
      </c>
      <c r="D24" s="209">
        <v>342.65249999999997</v>
      </c>
      <c r="E24" s="210" t="s">
        <v>630</v>
      </c>
      <c r="F24" s="279" t="s">
        <v>631</v>
      </c>
      <c r="G24" s="211" t="str">
        <f>IFERROR(VLOOKUP(F24,[2]Реестр!A:K,2,0),"")</f>
        <v/>
      </c>
      <c r="H24" s="206">
        <v>250</v>
      </c>
      <c r="I24" s="206">
        <v>109.55</v>
      </c>
      <c r="J24" s="201" t="str">
        <f>IFERROR(VLOOKUP(O24,Реестр!#REF!,3,0)*Q24/P24,"")</f>
        <v/>
      </c>
    </row>
    <row r="25" spans="1:12" ht="18.75" x14ac:dyDescent="0.3">
      <c r="A25" s="209">
        <v>0.2</v>
      </c>
      <c r="B25" s="209">
        <v>0</v>
      </c>
      <c r="C25" s="209">
        <v>13.7</v>
      </c>
      <c r="D25" s="209">
        <v>53</v>
      </c>
      <c r="E25" s="210" t="s">
        <v>353</v>
      </c>
      <c r="F25" s="279" t="s">
        <v>499</v>
      </c>
      <c r="G25" s="211" t="str">
        <f>IFERROR(VLOOKUP(F25,[2]Реестр!A:K,2,0),"")</f>
        <v>200</v>
      </c>
      <c r="H25" s="206">
        <v>200</v>
      </c>
      <c r="I25" s="207">
        <v>4.38</v>
      </c>
      <c r="J25" s="201"/>
    </row>
    <row r="26" spans="1:12" ht="18.75" x14ac:dyDescent="0.3">
      <c r="A26" s="209">
        <v>2.64</v>
      </c>
      <c r="B26" s="209">
        <v>0.24</v>
      </c>
      <c r="C26" s="209">
        <v>18.72</v>
      </c>
      <c r="D26" s="209">
        <v>89.6</v>
      </c>
      <c r="E26" s="210" t="s">
        <v>471</v>
      </c>
      <c r="F26" s="217" t="s">
        <v>66</v>
      </c>
      <c r="G26" s="211" t="str">
        <f>IFERROR(VLOOKUP(F26,[2]Реестр!A:K,2,0),"")</f>
        <v>100</v>
      </c>
      <c r="H26" s="206">
        <v>40</v>
      </c>
      <c r="I26" s="207">
        <v>3.6</v>
      </c>
      <c r="J26" s="201" t="str">
        <f>IFERROR(VLOOKUP(O26,Реестр!#REF!,3,0)*Q26/P26,"")</f>
        <v/>
      </c>
    </row>
    <row r="27" spans="1:12" ht="18.75" x14ac:dyDescent="0.3">
      <c r="A27" s="209">
        <v>2.64</v>
      </c>
      <c r="B27" s="209">
        <v>0.48</v>
      </c>
      <c r="C27" s="209">
        <v>13.36</v>
      </c>
      <c r="D27" s="209">
        <v>77.2</v>
      </c>
      <c r="E27" s="210" t="s">
        <v>471</v>
      </c>
      <c r="F27" s="217" t="s">
        <v>65</v>
      </c>
      <c r="G27" s="211" t="str">
        <f>IFERROR(VLOOKUP(F27,[2]Реестр!A:K,2,0),"")</f>
        <v>100</v>
      </c>
      <c r="H27" s="206">
        <v>40</v>
      </c>
      <c r="I27" s="207">
        <v>3.6</v>
      </c>
      <c r="J27" s="201"/>
    </row>
    <row r="28" spans="1:12" ht="18.75" x14ac:dyDescent="0.3">
      <c r="A28" s="209"/>
      <c r="B28" s="209"/>
      <c r="C28" s="209"/>
      <c r="D28" s="209"/>
      <c r="E28" s="210"/>
      <c r="F28" s="217"/>
      <c r="G28" s="211"/>
      <c r="H28" s="206"/>
      <c r="I28" s="207"/>
      <c r="J28" s="201"/>
    </row>
    <row r="29" spans="1:12" ht="18.75" x14ac:dyDescent="0.3">
      <c r="A29" s="453" t="s">
        <v>16</v>
      </c>
      <c r="B29" s="454"/>
      <c r="C29" s="454"/>
      <c r="D29" s="454"/>
      <c r="E29" s="454"/>
      <c r="F29" s="455"/>
      <c r="G29" s="205"/>
      <c r="H29" s="206"/>
      <c r="I29" s="207">
        <f>SUM(I23:I28)</f>
        <v>128.55999999999997</v>
      </c>
      <c r="J29" s="206">
        <v>128.56</v>
      </c>
      <c r="K29" s="208">
        <f>I29-J29</f>
        <v>0</v>
      </c>
      <c r="L29" s="208"/>
    </row>
    <row r="30" spans="1:12" ht="18.75" x14ac:dyDescent="0.3">
      <c r="A30" s="462" t="s">
        <v>501</v>
      </c>
      <c r="B30" s="462"/>
      <c r="C30" s="462"/>
      <c r="D30" s="462"/>
      <c r="E30" s="462"/>
      <c r="F30" s="462"/>
      <c r="G30" s="462"/>
      <c r="H30" s="462"/>
      <c r="I30" s="462"/>
      <c r="J30" s="201"/>
    </row>
    <row r="31" spans="1:12" ht="18.75" x14ac:dyDescent="0.3">
      <c r="A31" s="279">
        <v>14.01</v>
      </c>
      <c r="B31" s="209">
        <v>6.2079999999999993</v>
      </c>
      <c r="C31" s="209">
        <v>12.072000000000001</v>
      </c>
      <c r="D31" s="209">
        <v>117.68388800000001</v>
      </c>
      <c r="E31" s="210" t="s">
        <v>628</v>
      </c>
      <c r="F31" s="279" t="s">
        <v>629</v>
      </c>
      <c r="G31" s="211" t="str">
        <f>IFERROR(VLOOKUP(F31,[2]Реестр!A:K,2,0),"")</f>
        <v/>
      </c>
      <c r="H31" s="210">
        <v>100</v>
      </c>
      <c r="I31" s="230">
        <v>27.91</v>
      </c>
      <c r="J31" s="201"/>
    </row>
    <row r="32" spans="1:12" ht="18.75" x14ac:dyDescent="0.3">
      <c r="A32" s="209">
        <v>8.9166666666666661</v>
      </c>
      <c r="B32" s="209">
        <v>7.75</v>
      </c>
      <c r="C32" s="209">
        <v>19.5</v>
      </c>
      <c r="D32" s="209">
        <v>185</v>
      </c>
      <c r="E32" s="210" t="s">
        <v>213</v>
      </c>
      <c r="F32" s="279" t="s">
        <v>212</v>
      </c>
      <c r="G32" s="211" t="str">
        <f>IFERROR(VLOOKUP(F32,[2]Реестр!A:K,2,0),"")</f>
        <v>300</v>
      </c>
      <c r="H32" s="206">
        <v>250</v>
      </c>
      <c r="I32" s="207">
        <v>42</v>
      </c>
      <c r="J32" s="206"/>
      <c r="K32" s="208">
        <f>I38-J32</f>
        <v>192.83999999999997</v>
      </c>
    </row>
    <row r="33" spans="1:12" ht="18.75" x14ac:dyDescent="0.3">
      <c r="A33" s="209">
        <v>21.712499999999999</v>
      </c>
      <c r="B33" s="209">
        <v>11.317500000000001</v>
      </c>
      <c r="C33" s="209">
        <v>38.486249999999998</v>
      </c>
      <c r="D33" s="209">
        <v>342.65249999999997</v>
      </c>
      <c r="E33" s="210" t="s">
        <v>630</v>
      </c>
      <c r="F33" s="279" t="s">
        <v>631</v>
      </c>
      <c r="G33" s="211" t="str">
        <f>IFERROR(VLOOKUP(F33,[2]Реестр!A:K,2,0),"")</f>
        <v/>
      </c>
      <c r="H33" s="206">
        <v>250</v>
      </c>
      <c r="I33" s="206">
        <v>109.55</v>
      </c>
      <c r="J33" s="212"/>
    </row>
    <row r="34" spans="1:12" ht="18.75" x14ac:dyDescent="0.3">
      <c r="A34" s="209">
        <v>0.2</v>
      </c>
      <c r="B34" s="209">
        <v>0</v>
      </c>
      <c r="C34" s="209">
        <v>13.7</v>
      </c>
      <c r="D34" s="209">
        <v>53</v>
      </c>
      <c r="E34" s="210" t="s">
        <v>353</v>
      </c>
      <c r="F34" s="279" t="s">
        <v>499</v>
      </c>
      <c r="G34" s="211" t="str">
        <f>IFERROR(VLOOKUP(F34,[2]Реестр!A:K,2,0),"")</f>
        <v>200</v>
      </c>
      <c r="H34" s="206">
        <v>200</v>
      </c>
      <c r="I34" s="207">
        <v>4.38</v>
      </c>
      <c r="J34" s="212"/>
    </row>
    <row r="35" spans="1:12" ht="18.75" x14ac:dyDescent="0.3">
      <c r="A35" s="209">
        <v>3.3</v>
      </c>
      <c r="B35" s="209">
        <v>0.3</v>
      </c>
      <c r="C35" s="209">
        <v>23.4</v>
      </c>
      <c r="D35" s="209">
        <v>112</v>
      </c>
      <c r="E35" s="210" t="s">
        <v>471</v>
      </c>
      <c r="F35" s="217" t="s">
        <v>66</v>
      </c>
      <c r="G35" s="211" t="str">
        <f>IFERROR(VLOOKUP(F35,[2]Реестр!A:K,2,0),"")</f>
        <v>100</v>
      </c>
      <c r="H35" s="206">
        <v>50</v>
      </c>
      <c r="I35" s="207">
        <v>4.5</v>
      </c>
      <c r="J35" s="212"/>
    </row>
    <row r="36" spans="1:12" ht="18.75" x14ac:dyDescent="0.3">
      <c r="A36" s="209">
        <v>3.3</v>
      </c>
      <c r="B36" s="209">
        <v>0.6</v>
      </c>
      <c r="C36" s="209">
        <v>16.7</v>
      </c>
      <c r="D36" s="209">
        <v>96.5</v>
      </c>
      <c r="E36" s="210" t="s">
        <v>471</v>
      </c>
      <c r="F36" s="217" t="s">
        <v>65</v>
      </c>
      <c r="G36" s="211" t="str">
        <f>IFERROR(VLOOKUP(F36,[2]Реестр!A:K,2,0),"")</f>
        <v>100</v>
      </c>
      <c r="H36" s="206">
        <v>50</v>
      </c>
      <c r="I36" s="207">
        <v>4.5</v>
      </c>
      <c r="J36" s="278"/>
    </row>
    <row r="37" spans="1:12" ht="18.75" x14ac:dyDescent="0.3">
      <c r="A37" s="209"/>
      <c r="B37" s="209"/>
      <c r="C37" s="209"/>
      <c r="D37" s="209"/>
      <c r="E37" s="218"/>
      <c r="F37" s="217"/>
      <c r="G37" s="211"/>
      <c r="H37" s="206"/>
      <c r="I37" s="207"/>
      <c r="J37" s="278"/>
    </row>
    <row r="38" spans="1:12" ht="18.75" x14ac:dyDescent="0.3">
      <c r="A38" s="453" t="s">
        <v>16</v>
      </c>
      <c r="B38" s="454"/>
      <c r="C38" s="454"/>
      <c r="D38" s="454"/>
      <c r="E38" s="454"/>
      <c r="F38" s="455"/>
      <c r="G38" s="205"/>
      <c r="H38" s="206"/>
      <c r="I38" s="207">
        <f>SUM(I31:I37)</f>
        <v>192.83999999999997</v>
      </c>
      <c r="J38" s="206">
        <v>192.84</v>
      </c>
      <c r="K38" s="208">
        <f>I38-J38</f>
        <v>0</v>
      </c>
    </row>
    <row r="39" spans="1:12" ht="18.75" x14ac:dyDescent="0.3">
      <c r="A39" s="462" t="s">
        <v>18</v>
      </c>
      <c r="B39" s="462"/>
      <c r="C39" s="462"/>
      <c r="D39" s="462"/>
      <c r="E39" s="462"/>
      <c r="F39" s="462"/>
      <c r="G39" s="462"/>
      <c r="H39" s="462"/>
      <c r="I39" s="462"/>
      <c r="J39" s="278"/>
    </row>
    <row r="40" spans="1:12" ht="18.75" x14ac:dyDescent="0.3">
      <c r="A40" s="462" t="s">
        <v>19</v>
      </c>
      <c r="B40" s="462"/>
      <c r="C40" s="462"/>
      <c r="D40" s="462"/>
      <c r="E40" s="462"/>
      <c r="F40" s="462"/>
      <c r="G40" s="462"/>
      <c r="H40" s="462"/>
      <c r="I40" s="462"/>
      <c r="J40" s="278"/>
    </row>
    <row r="41" spans="1:12" ht="18.75" x14ac:dyDescent="0.3">
      <c r="A41" s="209">
        <f>IFERROR(VLOOKUP(F41,[1]Реестр!A:K,3,0)*H41/G41,"")</f>
        <v>3.8</v>
      </c>
      <c r="B41" s="209">
        <f>IFERROR(VLOOKUP(F41,[1]Реестр!A:K,4,0)*H41/G41,"")</f>
        <v>6.6</v>
      </c>
      <c r="C41" s="209">
        <f>IFERROR(VLOOKUP(F41,[1]Реестр!A:K,5,0)*H41/G41,"")</f>
        <v>9.6999999999999993</v>
      </c>
      <c r="D41" s="209">
        <f>IFERROR(VLOOKUP(F41,[1]Реестр!A:K,6,0)*H41/G41,"")</f>
        <v>116</v>
      </c>
      <c r="E41" s="210" t="str">
        <f>IFERROR(VLOOKUP(F41,[1]Реестр!A:K,11,0),"")</f>
        <v>1*58</v>
      </c>
      <c r="F41" s="233" t="s">
        <v>527</v>
      </c>
      <c r="G41" s="211" t="str">
        <f>IFERROR(VLOOKUP(F41,[1]Реестр!A:K,2,0),"")</f>
        <v>35</v>
      </c>
      <c r="H41" s="210">
        <v>35</v>
      </c>
      <c r="I41" s="207">
        <v>26.85</v>
      </c>
      <c r="J41" s="278" t="s">
        <v>20</v>
      </c>
    </row>
    <row r="42" spans="1:12" ht="18.75" x14ac:dyDescent="0.3">
      <c r="A42" s="209">
        <v>9.75</v>
      </c>
      <c r="B42" s="209">
        <v>12.14</v>
      </c>
      <c r="C42" s="209">
        <v>36.06</v>
      </c>
      <c r="D42" s="209">
        <v>291.64</v>
      </c>
      <c r="E42" s="210" t="s">
        <v>133</v>
      </c>
      <c r="F42" s="279" t="s">
        <v>614</v>
      </c>
      <c r="G42" s="211" t="str">
        <f>IFERROR(VLOOKUP(F42,[1]Реестр!A:K,2,0),"")</f>
        <v/>
      </c>
      <c r="H42" s="210">
        <v>230</v>
      </c>
      <c r="I42" s="207">
        <v>38.270000000000003</v>
      </c>
      <c r="J42" s="278" t="s">
        <v>537</v>
      </c>
      <c r="K42" s="237"/>
      <c r="L42" s="237"/>
    </row>
    <row r="43" spans="1:12" ht="18.75" x14ac:dyDescent="0.3">
      <c r="A43" s="209">
        <f>IFERROR(VLOOKUP(F43,[1]Реестр!A:K,3,0)*H43/G43,"")</f>
        <v>0.15</v>
      </c>
      <c r="B43" s="209">
        <f>IFERROR(VLOOKUP(F43,[1]Реестр!A:K,4,0)*H43/G43,"")</f>
        <v>0.09</v>
      </c>
      <c r="C43" s="209">
        <f>IFERROR(VLOOKUP(F43,[1]Реестр!A:K,5,0)*H43/G43,"")</f>
        <v>8.58</v>
      </c>
      <c r="D43" s="209">
        <f>IFERROR(VLOOKUP(F43,[1]Реестр!A:K,6,0)*H43/G43,"")</f>
        <v>34.799999999999997</v>
      </c>
      <c r="E43" s="210" t="str">
        <f>IFERROR(VLOOKUP(F43,[1]Реестр!A:K,11,0),"")</f>
        <v>12*2</v>
      </c>
      <c r="F43" s="279" t="s">
        <v>371</v>
      </c>
      <c r="G43" s="211" t="str">
        <f>IFERROR(VLOOKUP(F43,[1]Реестр!A:K,2,0),"")</f>
        <v>100</v>
      </c>
      <c r="H43" s="210">
        <v>30</v>
      </c>
      <c r="I43" s="207">
        <v>17.559999999999999</v>
      </c>
      <c r="J43" s="278" t="s">
        <v>477</v>
      </c>
      <c r="K43" s="237"/>
      <c r="L43" s="237"/>
    </row>
    <row r="44" spans="1:12" ht="18.75" x14ac:dyDescent="0.3">
      <c r="A44" s="209">
        <f>IFERROR(VLOOKUP(F44,[1]Реестр!A:K,3,0)*H44/G44,"")</f>
        <v>3.6</v>
      </c>
      <c r="B44" s="209">
        <f>IFERROR(VLOOKUP(F44,[1]Реестр!A:K,4,0)*H44/G44,"")</f>
        <v>2.7</v>
      </c>
      <c r="C44" s="209">
        <f>IFERROR(VLOOKUP(F44,[1]Реестр!A:K,5,0)*H44/G44,"")</f>
        <v>22.9</v>
      </c>
      <c r="D44" s="209">
        <f>IFERROR(VLOOKUP(F44,[1]Реестр!A:K,6,0)*H44/G44,"")</f>
        <v>127</v>
      </c>
      <c r="E44" s="210" t="str">
        <f>IFERROR(VLOOKUP(F44,[1]Реестр!A:K,11,0),"")</f>
        <v>11*51</v>
      </c>
      <c r="F44" s="279" t="s">
        <v>342</v>
      </c>
      <c r="G44" s="211">
        <f>IFERROR(VLOOKUP(F44,[1]Реестр!A:K,2,0),"")</f>
        <v>200</v>
      </c>
      <c r="H44" s="206">
        <v>200</v>
      </c>
      <c r="I44" s="207">
        <v>24.16</v>
      </c>
      <c r="J44" s="278" t="s">
        <v>479</v>
      </c>
      <c r="K44" s="237"/>
      <c r="L44" s="237"/>
    </row>
    <row r="45" spans="1:12" ht="18.75" x14ac:dyDescent="0.3">
      <c r="A45" s="209">
        <f>IFERROR(VLOOKUP(F45,[1]Реестр!A:K,3,0)*H45/G45,"")</f>
        <v>1.32</v>
      </c>
      <c r="B45" s="209">
        <f>IFERROR(VLOOKUP(F45,[1]Реестр!A:K,4,0)*H45/G45,"")</f>
        <v>0.24</v>
      </c>
      <c r="C45" s="209">
        <f>IFERROR(VLOOKUP(F45,[1]Реестр!A:K,5,0)*H45/G45,"")</f>
        <v>6.68</v>
      </c>
      <c r="D45" s="209">
        <f>IFERROR(VLOOKUP(F45,[1]Реестр!A:K,6,0)*H45/G45,"")</f>
        <v>38.6</v>
      </c>
      <c r="E45" s="210" t="str">
        <f>IFERROR(VLOOKUP(F45,[1]Реестр!A:K,11,0),"")</f>
        <v>-</v>
      </c>
      <c r="F45" s="217" t="s">
        <v>65</v>
      </c>
      <c r="G45" s="211" t="str">
        <f>IFERROR(VLOOKUP(F45,[1]Реестр!A:K,2,0),"")</f>
        <v>100</v>
      </c>
      <c r="H45" s="206">
        <v>20</v>
      </c>
      <c r="I45" s="207">
        <v>1.8</v>
      </c>
      <c r="J45" s="278" t="s">
        <v>475</v>
      </c>
      <c r="K45" s="238"/>
      <c r="L45" s="237"/>
    </row>
    <row r="46" spans="1:12" ht="18.75" x14ac:dyDescent="0.3">
      <c r="A46" s="465" t="s">
        <v>25</v>
      </c>
      <c r="B46" s="466"/>
      <c r="C46" s="466"/>
      <c r="D46" s="466"/>
      <c r="E46" s="466"/>
      <c r="F46" s="466"/>
      <c r="G46" s="466"/>
      <c r="H46" s="466"/>
      <c r="I46" s="467"/>
      <c r="J46" s="278"/>
    </row>
    <row r="47" spans="1:12" s="234" customFormat="1" ht="18.75" x14ac:dyDescent="0.25">
      <c r="A47" s="279">
        <v>14.01</v>
      </c>
      <c r="B47" s="209">
        <v>6.2079999999999993</v>
      </c>
      <c r="C47" s="209">
        <v>12.072000000000001</v>
      </c>
      <c r="D47" s="209">
        <v>117.68388800000001</v>
      </c>
      <c r="E47" s="210" t="s">
        <v>628</v>
      </c>
      <c r="F47" s="279" t="s">
        <v>629</v>
      </c>
      <c r="G47" s="211" t="str">
        <f>IFERROR(VLOOKUP(F47,[2]Реестр!A:K,2,0),"")</f>
        <v/>
      </c>
      <c r="H47" s="210">
        <v>80</v>
      </c>
      <c r="I47" s="230">
        <v>21.73</v>
      </c>
      <c r="J47" s="239" t="s">
        <v>538</v>
      </c>
    </row>
    <row r="48" spans="1:12" ht="18.75" x14ac:dyDescent="0.3">
      <c r="A48" s="209">
        <v>8.9166666666666661</v>
      </c>
      <c r="B48" s="209">
        <v>7.75</v>
      </c>
      <c r="C48" s="209">
        <v>19.5</v>
      </c>
      <c r="D48" s="209">
        <v>185</v>
      </c>
      <c r="E48" s="210" t="s">
        <v>213</v>
      </c>
      <c r="F48" s="279" t="s">
        <v>212</v>
      </c>
      <c r="G48" s="211" t="str">
        <f>IFERROR(VLOOKUP(F48,[2]Реестр!A:K,2,0),"")</f>
        <v>300</v>
      </c>
      <c r="H48" s="206">
        <v>250</v>
      </c>
      <c r="I48" s="207">
        <v>42</v>
      </c>
      <c r="J48" s="278" t="s">
        <v>478</v>
      </c>
    </row>
    <row r="49" spans="1:11" ht="18.75" x14ac:dyDescent="0.3">
      <c r="A49" s="209">
        <v>17.37</v>
      </c>
      <c r="B49" s="209">
        <v>9.0540000000000003</v>
      </c>
      <c r="C49" s="209">
        <v>30.789000000000001</v>
      </c>
      <c r="D49" s="209">
        <v>274.12200000000001</v>
      </c>
      <c r="E49" s="210" t="s">
        <v>630</v>
      </c>
      <c r="F49" s="279" t="s">
        <v>631</v>
      </c>
      <c r="G49" s="211" t="str">
        <f>IFERROR(VLOOKUP(F49,[2]Реестр!A:K,2,0),"")</f>
        <v/>
      </c>
      <c r="H49" s="206">
        <v>200</v>
      </c>
      <c r="I49" s="206">
        <v>87.64</v>
      </c>
      <c r="J49" s="278" t="s">
        <v>537</v>
      </c>
    </row>
    <row r="50" spans="1:11" ht="18.75" x14ac:dyDescent="0.3">
      <c r="A50" s="209">
        <v>0.2</v>
      </c>
      <c r="B50" s="209">
        <v>0</v>
      </c>
      <c r="C50" s="209">
        <v>13.7</v>
      </c>
      <c r="D50" s="209">
        <v>53</v>
      </c>
      <c r="E50" s="210" t="s">
        <v>353</v>
      </c>
      <c r="F50" s="279" t="s">
        <v>499</v>
      </c>
      <c r="G50" s="211" t="str">
        <f>IFERROR(VLOOKUP(F50,[2]Реестр!A:K,2,0),"")</f>
        <v>200</v>
      </c>
      <c r="H50" s="206">
        <v>200</v>
      </c>
      <c r="I50" s="207">
        <v>4.38</v>
      </c>
      <c r="J50" s="278" t="s">
        <v>29</v>
      </c>
    </row>
    <row r="51" spans="1:11" ht="18.75" x14ac:dyDescent="0.3">
      <c r="A51" s="209">
        <v>2.64</v>
      </c>
      <c r="B51" s="209">
        <v>0.24</v>
      </c>
      <c r="C51" s="209">
        <v>18.72</v>
      </c>
      <c r="D51" s="209">
        <v>89.6</v>
      </c>
      <c r="E51" s="210" t="s">
        <v>471</v>
      </c>
      <c r="F51" s="217" t="s">
        <v>66</v>
      </c>
      <c r="G51" s="211" t="str">
        <f>IFERROR(VLOOKUP(F51,[2]Реестр!A:K,2,0),"")</f>
        <v>100</v>
      </c>
      <c r="H51" s="206">
        <v>40</v>
      </c>
      <c r="I51" s="207">
        <v>3.6</v>
      </c>
      <c r="J51" s="278" t="s">
        <v>479</v>
      </c>
    </row>
    <row r="52" spans="1:11" ht="18.75" x14ac:dyDescent="0.3">
      <c r="A52" s="209">
        <v>2.64</v>
      </c>
      <c r="B52" s="209">
        <v>0.48</v>
      </c>
      <c r="C52" s="209">
        <v>13.36</v>
      </c>
      <c r="D52" s="209">
        <v>77.2</v>
      </c>
      <c r="E52" s="210" t="s">
        <v>471</v>
      </c>
      <c r="F52" s="217" t="s">
        <v>65</v>
      </c>
      <c r="G52" s="211" t="str">
        <f>IFERROR(VLOOKUP(F52,[2]Реестр!A:K,2,0),"")</f>
        <v>100</v>
      </c>
      <c r="H52" s="206">
        <v>40</v>
      </c>
      <c r="I52" s="207">
        <v>3.6</v>
      </c>
      <c r="J52" s="278" t="s">
        <v>539</v>
      </c>
    </row>
    <row r="53" spans="1:11" ht="18.75" x14ac:dyDescent="0.3">
      <c r="A53" s="209"/>
      <c r="B53" s="209"/>
      <c r="C53" s="209"/>
      <c r="D53" s="209"/>
      <c r="E53" s="218"/>
      <c r="F53" s="217"/>
      <c r="G53" s="211"/>
      <c r="H53" s="206"/>
      <c r="I53" s="207"/>
      <c r="J53" s="278" t="s">
        <v>540</v>
      </c>
    </row>
    <row r="54" spans="1:11" ht="18.75" x14ac:dyDescent="0.3">
      <c r="A54" s="464" t="s">
        <v>16</v>
      </c>
      <c r="B54" s="464"/>
      <c r="C54" s="464"/>
      <c r="D54" s="464"/>
      <c r="E54" s="464"/>
      <c r="F54" s="464"/>
      <c r="G54" s="206"/>
      <c r="H54" s="206"/>
      <c r="I54" s="207">
        <f>SUM(I41:I45,I47:I53)</f>
        <v>271.59000000000003</v>
      </c>
      <c r="J54" s="206">
        <v>271.58999999999997</v>
      </c>
      <c r="K54" s="208">
        <f>I54-J54</f>
        <v>0</v>
      </c>
    </row>
    <row r="55" spans="1:11" ht="18.75" x14ac:dyDescent="0.3">
      <c r="A55" s="465" t="s">
        <v>33</v>
      </c>
      <c r="B55" s="466"/>
      <c r="C55" s="466"/>
      <c r="D55" s="466"/>
      <c r="E55" s="466"/>
      <c r="F55" s="466"/>
      <c r="G55" s="466"/>
      <c r="H55" s="466"/>
      <c r="I55" s="467"/>
      <c r="J55" s="278"/>
    </row>
    <row r="56" spans="1:11" ht="18.75" x14ac:dyDescent="0.3">
      <c r="A56" s="465" t="s">
        <v>19</v>
      </c>
      <c r="B56" s="466"/>
      <c r="C56" s="466"/>
      <c r="D56" s="466"/>
      <c r="E56" s="466"/>
      <c r="F56" s="466"/>
      <c r="G56" s="466"/>
      <c r="H56" s="466"/>
      <c r="I56" s="467"/>
      <c r="J56" s="278"/>
    </row>
    <row r="57" spans="1:11" ht="18.75" x14ac:dyDescent="0.3">
      <c r="A57" s="209">
        <f>IFERROR(VLOOKUP(F57,[1]Реестр!A:K,3,0)*H57/G57,"")</f>
        <v>5.08</v>
      </c>
      <c r="B57" s="209">
        <f>IFERROR(VLOOKUP(F57,[1]Реестр!A:K,4,0)*H57/G57,"")</f>
        <v>11.55</v>
      </c>
      <c r="C57" s="209">
        <f>IFERROR(VLOOKUP(F57,[1]Реестр!A:K,5,0)*H57/G57,"")</f>
        <v>9.9700000000000006</v>
      </c>
      <c r="D57" s="209">
        <f>IFERROR(VLOOKUP(F57,[1]Реестр!A:K,6,0)*H57/G57,"")</f>
        <v>164.15</v>
      </c>
      <c r="E57" s="210" t="str">
        <f>IFERROR(VLOOKUP(F57,[1]Реестр!A:K,11,0),"")</f>
        <v>1*51</v>
      </c>
      <c r="F57" s="279" t="s">
        <v>91</v>
      </c>
      <c r="G57" s="211" t="str">
        <f>IFERROR(VLOOKUP(F57,[1]Реестр!A:K,2,0),"")</f>
        <v>45</v>
      </c>
      <c r="H57" s="206">
        <v>45</v>
      </c>
      <c r="I57" s="207">
        <v>35.799999999999997</v>
      </c>
      <c r="J57" s="278" t="s">
        <v>20</v>
      </c>
    </row>
    <row r="58" spans="1:11" ht="18.75" x14ac:dyDescent="0.3">
      <c r="A58" s="209">
        <v>9.75</v>
      </c>
      <c r="B58" s="209">
        <v>12.14</v>
      </c>
      <c r="C58" s="209">
        <v>36.06</v>
      </c>
      <c r="D58" s="209">
        <v>291.64</v>
      </c>
      <c r="E58" s="210" t="s">
        <v>133</v>
      </c>
      <c r="F58" s="279" t="s">
        <v>614</v>
      </c>
      <c r="G58" s="211" t="str">
        <f>IFERROR(VLOOKUP(F58,[1]Реестр!A:K,2,0),"")</f>
        <v/>
      </c>
      <c r="H58" s="210">
        <v>250</v>
      </c>
      <c r="I58" s="207">
        <v>41.59</v>
      </c>
      <c r="J58" s="278" t="s">
        <v>537</v>
      </c>
    </row>
    <row r="59" spans="1:11" ht="18.75" x14ac:dyDescent="0.3">
      <c r="A59" s="209">
        <f>IFERROR(VLOOKUP(F59,[1]Реестр!A:K,3,0)*H59/G59,"")</f>
        <v>0.2</v>
      </c>
      <c r="B59" s="209">
        <f>IFERROR(VLOOKUP(F59,[1]Реестр!A:K,4,0)*H59/G59,"")</f>
        <v>0.12</v>
      </c>
      <c r="C59" s="209">
        <f>IFERROR(VLOOKUP(F59,[1]Реестр!A:K,5,0)*H59/G59,"")</f>
        <v>11.44</v>
      </c>
      <c r="D59" s="209">
        <f>IFERROR(VLOOKUP(F59,[1]Реестр!A:K,6,0)*H59/G59,"")</f>
        <v>46.4</v>
      </c>
      <c r="E59" s="210" t="str">
        <f>IFERROR(VLOOKUP(F59,[1]Реестр!A:K,11,0),"")</f>
        <v>12*2</v>
      </c>
      <c r="F59" s="279" t="s">
        <v>371</v>
      </c>
      <c r="G59" s="211" t="str">
        <f>IFERROR(VLOOKUP(F59,[1]Реестр!A:K,2,0),"")</f>
        <v>100</v>
      </c>
      <c r="H59" s="210">
        <v>40</v>
      </c>
      <c r="I59" s="207">
        <v>23.41</v>
      </c>
      <c r="J59" s="278" t="s">
        <v>477</v>
      </c>
    </row>
    <row r="60" spans="1:11" ht="18.75" x14ac:dyDescent="0.3">
      <c r="A60" s="209">
        <f>IFERROR(VLOOKUP(F60,[1]Реестр!A:K,3,0)*H60/G60,"")</f>
        <v>3.6</v>
      </c>
      <c r="B60" s="209">
        <f>IFERROR(VLOOKUP(F60,[1]Реестр!A:K,4,0)*H60/G60,"")</f>
        <v>2.7</v>
      </c>
      <c r="C60" s="209">
        <f>IFERROR(VLOOKUP(F60,[1]Реестр!A:K,5,0)*H60/G60,"")</f>
        <v>22.9</v>
      </c>
      <c r="D60" s="209">
        <f>IFERROR(VLOOKUP(F60,[1]Реестр!A:K,6,0)*H60/G60,"")</f>
        <v>127</v>
      </c>
      <c r="E60" s="210" t="str">
        <f>IFERROR(VLOOKUP(F60,[1]Реестр!A:K,11,0),"")</f>
        <v>11*51</v>
      </c>
      <c r="F60" s="279" t="s">
        <v>342</v>
      </c>
      <c r="G60" s="211">
        <f>IFERROR(VLOOKUP(F60,[1]Реестр!A:K,2,0),"")</f>
        <v>200</v>
      </c>
      <c r="H60" s="206">
        <v>200</v>
      </c>
      <c r="I60" s="207">
        <v>24.16</v>
      </c>
      <c r="J60" s="278" t="s">
        <v>541</v>
      </c>
      <c r="K60" s="237"/>
    </row>
    <row r="61" spans="1:11" ht="18.75" x14ac:dyDescent="0.3">
      <c r="A61" s="209">
        <f>IFERROR(VLOOKUP(F61,[1]Реестр!A:K,3,0)*H61/G61,"")</f>
        <v>2.64</v>
      </c>
      <c r="B61" s="209">
        <f>IFERROR(VLOOKUP(F61,[1]Реестр!A:K,4,0)*H61/G61,"")</f>
        <v>0.48</v>
      </c>
      <c r="C61" s="209">
        <f>IFERROR(VLOOKUP(F61,[1]Реестр!A:K,5,0)*H61/G61,"")</f>
        <v>13.36</v>
      </c>
      <c r="D61" s="209">
        <f>IFERROR(VLOOKUP(F61,[1]Реестр!A:K,6,0)*H61/G61,"")</f>
        <v>77.2</v>
      </c>
      <c r="E61" s="210" t="str">
        <f>IFERROR(VLOOKUP(F61,[1]Реестр!A:K,11,0),"")</f>
        <v>-</v>
      </c>
      <c r="F61" s="217" t="s">
        <v>65</v>
      </c>
      <c r="G61" s="211" t="str">
        <f>IFERROR(VLOOKUP(F61,[1]Реестр!A:K,2,0),"")</f>
        <v>100</v>
      </c>
      <c r="H61" s="206">
        <v>40</v>
      </c>
      <c r="I61" s="207">
        <v>3.6</v>
      </c>
      <c r="J61" s="278" t="s">
        <v>475</v>
      </c>
      <c r="K61" s="237"/>
    </row>
    <row r="62" spans="1:11" ht="18.75" x14ac:dyDescent="0.3">
      <c r="A62" s="465" t="s">
        <v>25</v>
      </c>
      <c r="B62" s="466"/>
      <c r="C62" s="466"/>
      <c r="D62" s="466"/>
      <c r="E62" s="466"/>
      <c r="F62" s="466"/>
      <c r="G62" s="466"/>
      <c r="H62" s="466"/>
      <c r="I62" s="467"/>
      <c r="J62" s="201" t="str">
        <f>IFERROR(VLOOKUP(O62,Реестр!#REF!,3,0)*Q62/P62,"")</f>
        <v/>
      </c>
      <c r="K62" s="237"/>
    </row>
    <row r="63" spans="1:11" s="234" customFormat="1" ht="18.75" x14ac:dyDescent="0.25">
      <c r="A63" s="279">
        <v>14.01</v>
      </c>
      <c r="B63" s="209">
        <v>6.2079999999999993</v>
      </c>
      <c r="C63" s="209">
        <v>12.072000000000001</v>
      </c>
      <c r="D63" s="209">
        <v>117.68388800000001</v>
      </c>
      <c r="E63" s="210" t="s">
        <v>628</v>
      </c>
      <c r="F63" s="279" t="s">
        <v>629</v>
      </c>
      <c r="G63" s="211" t="str">
        <f>IFERROR(VLOOKUP(F63,[2]Реестр!A:K,2,0),"")</f>
        <v/>
      </c>
      <c r="H63" s="210">
        <v>100</v>
      </c>
      <c r="I63" s="230">
        <v>27.91</v>
      </c>
      <c r="J63" s="239" t="s">
        <v>538</v>
      </c>
      <c r="K63" s="240"/>
    </row>
    <row r="64" spans="1:11" ht="18.75" x14ac:dyDescent="0.3">
      <c r="A64" s="209">
        <v>8.9166666666666661</v>
      </c>
      <c r="B64" s="209">
        <v>7.75</v>
      </c>
      <c r="C64" s="209">
        <v>19.5</v>
      </c>
      <c r="D64" s="209">
        <v>185</v>
      </c>
      <c r="E64" s="210" t="s">
        <v>213</v>
      </c>
      <c r="F64" s="279" t="s">
        <v>212</v>
      </c>
      <c r="G64" s="211" t="str">
        <f>IFERROR(VLOOKUP(F64,[2]Реестр!A:K,2,0),"")</f>
        <v>300</v>
      </c>
      <c r="H64" s="206">
        <v>250</v>
      </c>
      <c r="I64" s="207">
        <v>42</v>
      </c>
      <c r="J64" s="278" t="s">
        <v>478</v>
      </c>
      <c r="K64" s="237"/>
    </row>
    <row r="65" spans="1:12" ht="18.75" x14ac:dyDescent="0.3">
      <c r="A65" s="209">
        <v>21.712499999999999</v>
      </c>
      <c r="B65" s="209">
        <v>11.317500000000001</v>
      </c>
      <c r="C65" s="209">
        <v>38.486249999999998</v>
      </c>
      <c r="D65" s="209">
        <v>342.65249999999997</v>
      </c>
      <c r="E65" s="210" t="s">
        <v>630</v>
      </c>
      <c r="F65" s="279" t="s">
        <v>631</v>
      </c>
      <c r="G65" s="211" t="str">
        <f>IFERROR(VLOOKUP(F65,[2]Реестр!A:K,2,0),"")</f>
        <v/>
      </c>
      <c r="H65" s="206">
        <v>250</v>
      </c>
      <c r="I65" s="206">
        <v>109.55</v>
      </c>
      <c r="J65" s="278" t="s">
        <v>537</v>
      </c>
      <c r="K65" s="237"/>
    </row>
    <row r="66" spans="1:12" ht="18.75" x14ac:dyDescent="0.3">
      <c r="A66" s="209">
        <v>0.2</v>
      </c>
      <c r="B66" s="209">
        <v>0</v>
      </c>
      <c r="C66" s="209">
        <v>13.7</v>
      </c>
      <c r="D66" s="209">
        <v>53</v>
      </c>
      <c r="E66" s="210" t="s">
        <v>353</v>
      </c>
      <c r="F66" s="279" t="s">
        <v>499</v>
      </c>
      <c r="G66" s="211" t="str">
        <f>IFERROR(VLOOKUP(F66,[2]Реестр!A:K,2,0),"")</f>
        <v>200</v>
      </c>
      <c r="H66" s="206">
        <v>200</v>
      </c>
      <c r="I66" s="207">
        <v>4.38</v>
      </c>
      <c r="J66" s="278" t="s">
        <v>29</v>
      </c>
      <c r="K66" s="237"/>
    </row>
    <row r="67" spans="1:12" ht="18.75" x14ac:dyDescent="0.3">
      <c r="A67" s="209">
        <v>3.3</v>
      </c>
      <c r="B67" s="209">
        <v>0.3</v>
      </c>
      <c r="C67" s="209">
        <v>23.4</v>
      </c>
      <c r="D67" s="209">
        <v>112</v>
      </c>
      <c r="E67" s="210" t="s">
        <v>471</v>
      </c>
      <c r="F67" s="217" t="s">
        <v>66</v>
      </c>
      <c r="G67" s="211" t="str">
        <f>IFERROR(VLOOKUP(F67,[2]Реестр!A:K,2,0),"")</f>
        <v>100</v>
      </c>
      <c r="H67" s="206">
        <v>50</v>
      </c>
      <c r="I67" s="207">
        <v>4.5</v>
      </c>
      <c r="J67" s="278" t="s">
        <v>479</v>
      </c>
      <c r="K67" s="208"/>
    </row>
    <row r="68" spans="1:12" ht="18.75" x14ac:dyDescent="0.3">
      <c r="A68" s="209">
        <v>3.3</v>
      </c>
      <c r="B68" s="209">
        <v>0.6</v>
      </c>
      <c r="C68" s="209">
        <v>16.7</v>
      </c>
      <c r="D68" s="209">
        <v>96.5</v>
      </c>
      <c r="E68" s="210" t="s">
        <v>471</v>
      </c>
      <c r="F68" s="217" t="s">
        <v>65</v>
      </c>
      <c r="G68" s="211" t="str">
        <f>IFERROR(VLOOKUP(F68,[2]Реестр!A:K,2,0),"")</f>
        <v>100</v>
      </c>
      <c r="H68" s="206">
        <v>50</v>
      </c>
      <c r="I68" s="207">
        <v>4.5</v>
      </c>
      <c r="J68" s="278" t="s">
        <v>23</v>
      </c>
    </row>
    <row r="69" spans="1:12" ht="18.75" x14ac:dyDescent="0.3">
      <c r="A69" s="209"/>
      <c r="B69" s="209"/>
      <c r="C69" s="209"/>
      <c r="D69" s="209"/>
      <c r="E69" s="218"/>
      <c r="F69" s="217"/>
      <c r="G69" s="211"/>
      <c r="H69" s="206"/>
      <c r="I69" s="207"/>
      <c r="J69" s="278" t="s">
        <v>540</v>
      </c>
    </row>
    <row r="70" spans="1:12" ht="18" customHeight="1" x14ac:dyDescent="0.3">
      <c r="A70" s="464" t="s">
        <v>16</v>
      </c>
      <c r="B70" s="464"/>
      <c r="C70" s="464"/>
      <c r="D70" s="464"/>
      <c r="E70" s="464"/>
      <c r="F70" s="464"/>
      <c r="G70" s="206"/>
      <c r="H70" s="206"/>
      <c r="I70" s="207">
        <f>SUM(I57:I61)+SUM(I63:I69)</f>
        <v>321.39999999999998</v>
      </c>
      <c r="J70" s="201">
        <v>321.39999999999998</v>
      </c>
      <c r="K70" s="208">
        <f>J70-I70</f>
        <v>0</v>
      </c>
    </row>
    <row r="71" spans="1:12" ht="18.75" x14ac:dyDescent="0.3">
      <c r="A71" s="465" t="s">
        <v>34</v>
      </c>
      <c r="B71" s="466"/>
      <c r="C71" s="466"/>
      <c r="D71" s="466"/>
      <c r="E71" s="466"/>
      <c r="F71" s="466"/>
      <c r="G71" s="466"/>
      <c r="H71" s="466"/>
      <c r="I71" s="467"/>
      <c r="J71" s="206"/>
      <c r="K71" s="208"/>
    </row>
    <row r="72" spans="1:12" ht="18.75" x14ac:dyDescent="0.25">
      <c r="A72" s="209">
        <v>20.9</v>
      </c>
      <c r="B72" s="209">
        <v>3.6</v>
      </c>
      <c r="C72" s="209">
        <v>6.6</v>
      </c>
      <c r="D72" s="209">
        <v>114</v>
      </c>
      <c r="E72" s="210" t="s">
        <v>626</v>
      </c>
      <c r="F72" s="279" t="s">
        <v>627</v>
      </c>
      <c r="G72" s="211" t="str">
        <f>IFERROR(VLOOKUP(F72,[1]Реестр!A:K,2,0),"")</f>
        <v/>
      </c>
      <c r="H72" s="210">
        <v>30</v>
      </c>
      <c r="I72" s="230">
        <v>7.43</v>
      </c>
    </row>
    <row r="73" spans="1:12" ht="18.75" x14ac:dyDescent="0.3">
      <c r="A73" s="209">
        <v>21.712499999999999</v>
      </c>
      <c r="B73" s="209">
        <v>11.317500000000001</v>
      </c>
      <c r="C73" s="209">
        <v>38.486249999999998</v>
      </c>
      <c r="D73" s="209">
        <v>342.65249999999997</v>
      </c>
      <c r="E73" s="210" t="s">
        <v>630</v>
      </c>
      <c r="F73" s="279" t="s">
        <v>631</v>
      </c>
      <c r="G73" s="211" t="str">
        <f>IFERROR(VLOOKUP(F73,[2]Реестр!A:K,2,0),"")</f>
        <v/>
      </c>
      <c r="H73" s="206">
        <v>250</v>
      </c>
      <c r="I73" s="206">
        <v>109.55</v>
      </c>
    </row>
    <row r="74" spans="1:12" ht="18.75" x14ac:dyDescent="0.3">
      <c r="A74" s="209">
        <v>0.2</v>
      </c>
      <c r="B74" s="209">
        <v>0</v>
      </c>
      <c r="C74" s="209">
        <v>13.7</v>
      </c>
      <c r="D74" s="209">
        <v>53</v>
      </c>
      <c r="E74" s="210" t="s">
        <v>353</v>
      </c>
      <c r="F74" s="279" t="s">
        <v>499</v>
      </c>
      <c r="G74" s="211" t="str">
        <f>IFERROR(VLOOKUP(F74,[2]Реестр!A:K,2,0),"")</f>
        <v>200</v>
      </c>
      <c r="H74" s="206">
        <v>200</v>
      </c>
      <c r="I74" s="207">
        <v>4.38</v>
      </c>
    </row>
    <row r="75" spans="1:12" ht="18.75" x14ac:dyDescent="0.3">
      <c r="A75" s="209">
        <v>2.64</v>
      </c>
      <c r="B75" s="209">
        <v>0.24</v>
      </c>
      <c r="C75" s="209">
        <v>18.72</v>
      </c>
      <c r="D75" s="209">
        <v>89.6</v>
      </c>
      <c r="E75" s="210" t="s">
        <v>471</v>
      </c>
      <c r="F75" s="217" t="s">
        <v>66</v>
      </c>
      <c r="G75" s="211" t="str">
        <f>IFERROR(VLOOKUP(F75,[2]Реестр!A:K,2,0),"")</f>
        <v>100</v>
      </c>
      <c r="H75" s="206">
        <v>40</v>
      </c>
      <c r="I75" s="207">
        <v>3.6</v>
      </c>
    </row>
    <row r="76" spans="1:12" ht="18.75" x14ac:dyDescent="0.3">
      <c r="A76" s="209">
        <v>2.64</v>
      </c>
      <c r="B76" s="209">
        <v>0.48</v>
      </c>
      <c r="C76" s="209">
        <v>13.36</v>
      </c>
      <c r="D76" s="209">
        <v>77.2</v>
      </c>
      <c r="E76" s="210" t="s">
        <v>471</v>
      </c>
      <c r="F76" s="217" t="s">
        <v>65</v>
      </c>
      <c r="G76" s="211" t="str">
        <f>IFERROR(VLOOKUP(F76,[2]Реестр!A:K,2,0),"")</f>
        <v>100</v>
      </c>
      <c r="H76" s="206">
        <v>40</v>
      </c>
      <c r="I76" s="207">
        <v>3.6</v>
      </c>
    </row>
    <row r="77" spans="1:12" ht="18.75" x14ac:dyDescent="0.3">
      <c r="A77" s="209"/>
      <c r="B77" s="209"/>
      <c r="C77" s="209"/>
      <c r="D77" s="209"/>
      <c r="E77" s="210"/>
      <c r="F77" s="217"/>
      <c r="G77" s="211"/>
      <c r="H77" s="206"/>
      <c r="I77" s="207"/>
    </row>
    <row r="78" spans="1:12" ht="18.75" x14ac:dyDescent="0.3">
      <c r="A78" s="453" t="s">
        <v>16</v>
      </c>
      <c r="B78" s="454"/>
      <c r="C78" s="454"/>
      <c r="D78" s="454"/>
      <c r="E78" s="454"/>
      <c r="F78" s="455"/>
      <c r="G78" s="205"/>
      <c r="H78" s="206"/>
      <c r="I78" s="207">
        <f>SUM(I72:I77)</f>
        <v>128.55999999999997</v>
      </c>
      <c r="J78" s="215">
        <v>128.56</v>
      </c>
      <c r="L78" s="208">
        <f>J78-I78</f>
        <v>0</v>
      </c>
    </row>
    <row r="79" spans="1:12" ht="18.75" hidden="1" x14ac:dyDescent="0.25">
      <c r="A79" s="477" t="s">
        <v>35</v>
      </c>
      <c r="B79" s="478"/>
      <c r="C79" s="478"/>
      <c r="D79" s="478"/>
      <c r="E79" s="478"/>
      <c r="F79" s="478"/>
      <c r="G79" s="478"/>
      <c r="H79" s="478"/>
      <c r="I79" s="479"/>
    </row>
    <row r="80" spans="1:12" ht="18.75" hidden="1" x14ac:dyDescent="0.3">
      <c r="A80" s="219">
        <v>7.7</v>
      </c>
      <c r="B80" s="219">
        <v>7.42</v>
      </c>
      <c r="C80" s="219">
        <v>32.090000000000003</v>
      </c>
      <c r="D80" s="219">
        <v>225.88</v>
      </c>
      <c r="E80" s="261" t="s">
        <v>408</v>
      </c>
      <c r="F80" s="279" t="s">
        <v>605</v>
      </c>
      <c r="G80" s="211" t="str">
        <f>IFERROR(VLOOKUP(F80,[2]Реестр!A:K,2,0),"")</f>
        <v/>
      </c>
      <c r="H80" s="206">
        <v>100</v>
      </c>
      <c r="I80" s="207">
        <v>42</v>
      </c>
      <c r="K80" s="208"/>
    </row>
    <row r="81" spans="1:12" ht="18.75" hidden="1" x14ac:dyDescent="0.3">
      <c r="A81" s="453" t="s">
        <v>16</v>
      </c>
      <c r="B81" s="454"/>
      <c r="C81" s="454"/>
      <c r="D81" s="454"/>
      <c r="E81" s="454"/>
      <c r="F81" s="455"/>
      <c r="G81" s="205"/>
      <c r="H81" s="206"/>
      <c r="I81" s="207">
        <f>I80</f>
        <v>42</v>
      </c>
      <c r="J81" s="215">
        <v>42</v>
      </c>
    </row>
    <row r="82" spans="1:12" ht="18.75" hidden="1" x14ac:dyDescent="0.3">
      <c r="A82" s="465" t="s">
        <v>36</v>
      </c>
      <c r="B82" s="466"/>
      <c r="C82" s="466"/>
      <c r="D82" s="466"/>
      <c r="E82" s="466"/>
      <c r="F82" s="466"/>
      <c r="G82" s="466"/>
      <c r="H82" s="466"/>
      <c r="I82" s="467"/>
    </row>
    <row r="83" spans="1:12" ht="18.75" hidden="1" x14ac:dyDescent="0.3">
      <c r="A83" s="209">
        <v>8.9166666666666661</v>
      </c>
      <c r="B83" s="209">
        <v>7.75</v>
      </c>
      <c r="C83" s="209">
        <v>19.5</v>
      </c>
      <c r="D83" s="209">
        <v>185</v>
      </c>
      <c r="E83" s="210" t="s">
        <v>213</v>
      </c>
      <c r="F83" s="279" t="s">
        <v>212</v>
      </c>
      <c r="G83" s="211" t="str">
        <f>IFERROR(VLOOKUP(F83,[2]Реестр!A:K,2,0),"")</f>
        <v>300</v>
      </c>
      <c r="H83" s="206">
        <v>250</v>
      </c>
      <c r="I83" s="207">
        <v>42</v>
      </c>
    </row>
    <row r="84" spans="1:12" ht="18.75" hidden="1" x14ac:dyDescent="0.3">
      <c r="A84" s="453" t="s">
        <v>16</v>
      </c>
      <c r="B84" s="454"/>
      <c r="C84" s="454"/>
      <c r="D84" s="454"/>
      <c r="E84" s="454"/>
      <c r="F84" s="455"/>
      <c r="G84" s="205"/>
      <c r="H84" s="206"/>
      <c r="I84" s="207">
        <f>SUM(I83:I83)</f>
        <v>42</v>
      </c>
      <c r="J84" s="215">
        <v>27</v>
      </c>
    </row>
    <row r="85" spans="1:12" ht="18.75" x14ac:dyDescent="0.3">
      <c r="A85" s="465" t="s">
        <v>503</v>
      </c>
      <c r="B85" s="466"/>
      <c r="C85" s="466"/>
      <c r="D85" s="466"/>
      <c r="E85" s="466"/>
      <c r="F85" s="466"/>
      <c r="G85" s="466"/>
      <c r="H85" s="466"/>
      <c r="I85" s="467"/>
    </row>
    <row r="86" spans="1:12" s="234" customFormat="1" ht="27" customHeight="1" x14ac:dyDescent="0.25">
      <c r="A86" s="279">
        <v>14.01</v>
      </c>
      <c r="B86" s="209">
        <v>6.2079999999999993</v>
      </c>
      <c r="C86" s="209">
        <v>12.072000000000001</v>
      </c>
      <c r="D86" s="209">
        <v>117.68388800000001</v>
      </c>
      <c r="E86" s="210" t="s">
        <v>628</v>
      </c>
      <c r="F86" s="279" t="s">
        <v>629</v>
      </c>
      <c r="G86" s="211" t="str">
        <f>IFERROR(VLOOKUP(F86,[2]Реестр!A:K,2,0),"")</f>
        <v/>
      </c>
      <c r="H86" s="210">
        <v>100</v>
      </c>
      <c r="I86" s="230">
        <v>27.91</v>
      </c>
      <c r="J86" s="268"/>
    </row>
    <row r="87" spans="1:12" ht="18.75" x14ac:dyDescent="0.3">
      <c r="A87" s="209">
        <v>8.9166666666666661</v>
      </c>
      <c r="B87" s="209">
        <v>7.75</v>
      </c>
      <c r="C87" s="209">
        <v>19.5</v>
      </c>
      <c r="D87" s="209">
        <v>185</v>
      </c>
      <c r="E87" s="210" t="s">
        <v>213</v>
      </c>
      <c r="F87" s="279" t="s">
        <v>212</v>
      </c>
      <c r="G87" s="211" t="str">
        <f>IFERROR(VLOOKUP(F87,[2]Реестр!A:K,2,0),"")</f>
        <v>300</v>
      </c>
      <c r="H87" s="206">
        <v>250</v>
      </c>
      <c r="I87" s="207">
        <v>42</v>
      </c>
    </row>
    <row r="88" spans="1:12" ht="18.75" x14ac:dyDescent="0.3">
      <c r="A88" s="209">
        <v>21.712499999999999</v>
      </c>
      <c r="B88" s="209">
        <v>11.317500000000001</v>
      </c>
      <c r="C88" s="209">
        <v>38.486249999999998</v>
      </c>
      <c r="D88" s="209">
        <v>342.65249999999997</v>
      </c>
      <c r="E88" s="210" t="s">
        <v>630</v>
      </c>
      <c r="F88" s="279" t="s">
        <v>631</v>
      </c>
      <c r="G88" s="211" t="str">
        <f>IFERROR(VLOOKUP(F88,[2]Реестр!A:K,2,0),"")</f>
        <v/>
      </c>
      <c r="H88" s="206">
        <v>250</v>
      </c>
      <c r="I88" s="206">
        <v>109.55</v>
      </c>
    </row>
    <row r="89" spans="1:12" ht="18.75" x14ac:dyDescent="0.3">
      <c r="A89" s="209">
        <v>0.2</v>
      </c>
      <c r="B89" s="209">
        <v>0</v>
      </c>
      <c r="C89" s="209">
        <v>13.7</v>
      </c>
      <c r="D89" s="209">
        <v>53</v>
      </c>
      <c r="E89" s="210" t="s">
        <v>353</v>
      </c>
      <c r="F89" s="279" t="s">
        <v>499</v>
      </c>
      <c r="G89" s="211" t="str">
        <f>IFERROR(VLOOKUP(F89,[2]Реестр!A:K,2,0),"")</f>
        <v>200</v>
      </c>
      <c r="H89" s="206">
        <v>200</v>
      </c>
      <c r="I89" s="207">
        <v>4.38</v>
      </c>
    </row>
    <row r="90" spans="1:12" ht="18.75" x14ac:dyDescent="0.3">
      <c r="A90" s="209">
        <v>3.3</v>
      </c>
      <c r="B90" s="209">
        <v>0.3</v>
      </c>
      <c r="C90" s="209">
        <v>23.4</v>
      </c>
      <c r="D90" s="209">
        <v>112</v>
      </c>
      <c r="E90" s="210" t="s">
        <v>471</v>
      </c>
      <c r="F90" s="217" t="s">
        <v>66</v>
      </c>
      <c r="G90" s="211" t="str">
        <f>IFERROR(VLOOKUP(F90,[2]Реестр!A:K,2,0),"")</f>
        <v>100</v>
      </c>
      <c r="H90" s="206">
        <v>50</v>
      </c>
      <c r="I90" s="207">
        <v>4.5</v>
      </c>
    </row>
    <row r="91" spans="1:12" ht="18.75" x14ac:dyDescent="0.3">
      <c r="A91" s="209">
        <v>3.3</v>
      </c>
      <c r="B91" s="209">
        <v>0.6</v>
      </c>
      <c r="C91" s="209">
        <v>16.7</v>
      </c>
      <c r="D91" s="209">
        <v>96.5</v>
      </c>
      <c r="E91" s="210" t="s">
        <v>471</v>
      </c>
      <c r="F91" s="217" t="s">
        <v>65</v>
      </c>
      <c r="G91" s="211" t="str">
        <f>IFERROR(VLOOKUP(F91,[2]Реестр!A:K,2,0),"")</f>
        <v>100</v>
      </c>
      <c r="H91" s="206">
        <v>50</v>
      </c>
      <c r="I91" s="207">
        <v>4.5</v>
      </c>
    </row>
    <row r="92" spans="1:12" ht="18.75" x14ac:dyDescent="0.3">
      <c r="A92" s="209"/>
      <c r="B92" s="209"/>
      <c r="C92" s="209"/>
      <c r="D92" s="209"/>
      <c r="E92" s="218"/>
      <c r="F92" s="217"/>
      <c r="G92" s="211"/>
      <c r="H92" s="206"/>
      <c r="I92" s="207"/>
      <c r="K92" s="208"/>
    </row>
    <row r="93" spans="1:12" ht="18.75" x14ac:dyDescent="0.3">
      <c r="A93" s="464" t="s">
        <v>16</v>
      </c>
      <c r="B93" s="464"/>
      <c r="C93" s="464"/>
      <c r="D93" s="464"/>
      <c r="E93" s="464"/>
      <c r="F93" s="464"/>
      <c r="G93" s="205"/>
      <c r="H93" s="206"/>
      <c r="I93" s="207">
        <f>SUM(I86:I92)</f>
        <v>192.83999999999997</v>
      </c>
      <c r="J93" s="215">
        <v>192.84</v>
      </c>
      <c r="L93" s="208">
        <f>J93-I93</f>
        <v>0</v>
      </c>
    </row>
    <row r="94" spans="1:12" ht="18.75" hidden="1" x14ac:dyDescent="0.3">
      <c r="A94" s="462" t="s">
        <v>544</v>
      </c>
      <c r="B94" s="462"/>
      <c r="C94" s="462"/>
      <c r="D94" s="462"/>
      <c r="E94" s="462"/>
      <c r="F94" s="462"/>
      <c r="G94" s="462"/>
      <c r="H94" s="462"/>
      <c r="I94" s="462"/>
      <c r="K94" s="208"/>
    </row>
    <row r="95" spans="1:12" ht="18.75" hidden="1" x14ac:dyDescent="0.25">
      <c r="A95" s="209">
        <f>IFERROR(VLOOKUP(F95,[1]Реестр!A:K,3,0)*H95/G95,"")</f>
        <v>5.08</v>
      </c>
      <c r="B95" s="209">
        <f>IFERROR(VLOOKUP(F95,[1]Реестр!A:K,4,0)*H95/G95,"")</f>
        <v>11.55</v>
      </c>
      <c r="C95" s="209">
        <f>IFERROR(VLOOKUP(F95,[1]Реестр!A:K,5,0)*H95/G95,"")</f>
        <v>9.9700000000000006</v>
      </c>
      <c r="D95" s="209">
        <f>IFERROR(VLOOKUP(F95,[1]Реестр!A:K,6,0)*H95/G95,"")</f>
        <v>164.15</v>
      </c>
      <c r="E95" s="210" t="str">
        <f>IFERROR(VLOOKUP(F95,[1]Реестр!A:K,11,0),"")</f>
        <v>1*51</v>
      </c>
      <c r="F95" s="279" t="s">
        <v>91</v>
      </c>
      <c r="G95" s="211" t="str">
        <f>IFERROR(VLOOKUP(F95,[1]Реестр!A:K,2,0),"")</f>
        <v>45</v>
      </c>
      <c r="H95" s="143">
        <v>45</v>
      </c>
      <c r="I95" s="450">
        <v>108.64</v>
      </c>
      <c r="K95" s="208"/>
    </row>
    <row r="96" spans="1:12" ht="33.75" hidden="1" customHeight="1" x14ac:dyDescent="0.25">
      <c r="A96" s="209">
        <f>IFERROR(VLOOKUP(F96,[1]Реестр!A:K,3,0)*H96/G96,"")</f>
        <v>6.3749999999999991</v>
      </c>
      <c r="B96" s="209">
        <f>IFERROR(VLOOKUP(F96,[1]Реестр!A:K,4,0)*H96/G96,"")</f>
        <v>5.7499999999999991</v>
      </c>
      <c r="C96" s="209">
        <f>IFERROR(VLOOKUP(F96,[1]Реестр!A:K,5,0)*H96/G96,"")</f>
        <v>0.375</v>
      </c>
      <c r="D96" s="209">
        <f>IFERROR(VLOOKUP(F96,[1]Реестр!A:K,6,0)*H96/G96,"")</f>
        <v>78.75</v>
      </c>
      <c r="E96" s="210" t="str">
        <f>IFERROR(VLOOKUP(F96,[1]Реестр!A:K,11,0),"")</f>
        <v>4*57</v>
      </c>
      <c r="F96" s="279" t="s">
        <v>162</v>
      </c>
      <c r="G96" s="211" t="str">
        <f>IFERROR(VLOOKUP(F96,[1]Реестр!A:K,2,0),"")</f>
        <v>40</v>
      </c>
      <c r="H96" s="143">
        <v>50</v>
      </c>
      <c r="I96" s="451"/>
      <c r="K96" s="208"/>
    </row>
    <row r="97" spans="1:12" ht="45" hidden="1" x14ac:dyDescent="0.25">
      <c r="A97" s="241">
        <v>8.1999999999999993</v>
      </c>
      <c r="B97" s="241">
        <v>8.4</v>
      </c>
      <c r="C97" s="241">
        <v>36.200000000000003</v>
      </c>
      <c r="D97" s="241">
        <v>244</v>
      </c>
      <c r="E97" s="242" t="str">
        <f>"2/66 (МР 2.4.0162-19. 2.4.)"</f>
        <v>2/66 (МР 2.4.0162-19. 2.4.)</v>
      </c>
      <c r="F97" s="228" t="s">
        <v>546</v>
      </c>
      <c r="G97" s="211" t="str">
        <f>IFERROR(VLOOKUP(F97,[1]Реестр!A:K,2,0),"")</f>
        <v>250</v>
      </c>
      <c r="H97" s="143">
        <v>200</v>
      </c>
      <c r="I97" s="451"/>
      <c r="K97" s="208"/>
    </row>
    <row r="98" spans="1:12" ht="30" hidden="1" x14ac:dyDescent="0.25">
      <c r="A98" s="243">
        <v>4.03</v>
      </c>
      <c r="B98" s="243">
        <v>3.19</v>
      </c>
      <c r="C98" s="243">
        <v>6.87</v>
      </c>
      <c r="D98" s="243">
        <v>68.87885</v>
      </c>
      <c r="E98" s="242" t="str">
        <f>"11/72 (2014 № 11.8)"</f>
        <v>11/72 (2014 № 11.8)</v>
      </c>
      <c r="F98" s="228" t="s">
        <v>564</v>
      </c>
      <c r="G98" s="211" t="str">
        <f>IFERROR(VLOOKUP(F98,[1]Реестр!A:K,2,0),"")</f>
        <v/>
      </c>
      <c r="H98" s="143" t="str">
        <f>"200"</f>
        <v>200</v>
      </c>
      <c r="I98" s="451"/>
      <c r="K98" s="208"/>
    </row>
    <row r="99" spans="1:12" ht="18.75" hidden="1" x14ac:dyDescent="0.25">
      <c r="A99" s="209">
        <f>IFERROR(VLOOKUP(F99,[1]Реестр!A:K,3,0)*H99/G99,"")</f>
        <v>1.32</v>
      </c>
      <c r="B99" s="209">
        <f>IFERROR(VLOOKUP(F99,[1]Реестр!A:K,4,0)*H99/G99,"")</f>
        <v>0.24</v>
      </c>
      <c r="C99" s="209">
        <f>IFERROR(VLOOKUP(F99,[1]Реестр!A:K,5,0)*H99/G99,"")</f>
        <v>6.68</v>
      </c>
      <c r="D99" s="209">
        <f>IFERROR(VLOOKUP(F99,[1]Реестр!A:K,6,0)*H99/G99,"")</f>
        <v>38.6</v>
      </c>
      <c r="E99" s="210" t="str">
        <f>IFERROR(VLOOKUP(F99,[1]Реестр!A:K,11,0),"")</f>
        <v>-</v>
      </c>
      <c r="F99" s="217" t="s">
        <v>65</v>
      </c>
      <c r="G99" s="211" t="str">
        <f>IFERROR(VLOOKUP(F99,[1]Реестр!A:K,2,0),"")</f>
        <v>100</v>
      </c>
      <c r="H99" s="229" t="str">
        <f>"20"</f>
        <v>20</v>
      </c>
      <c r="I99" s="452"/>
      <c r="K99" s="208"/>
    </row>
    <row r="100" spans="1:12" ht="18.75" hidden="1" x14ac:dyDescent="0.3">
      <c r="A100" s="464" t="s">
        <v>16</v>
      </c>
      <c r="B100" s="464"/>
      <c r="C100" s="464"/>
      <c r="D100" s="464"/>
      <c r="E100" s="464"/>
      <c r="F100" s="464"/>
      <c r="G100" s="205"/>
      <c r="H100" s="206"/>
      <c r="I100" s="207">
        <f>SUM(I95:I99)</f>
        <v>108.64</v>
      </c>
      <c r="K100" s="208"/>
    </row>
    <row r="101" spans="1:12" ht="18.75" hidden="1" x14ac:dyDescent="0.3">
      <c r="A101" s="462" t="s">
        <v>545</v>
      </c>
      <c r="B101" s="462"/>
      <c r="C101" s="462"/>
      <c r="D101" s="462"/>
      <c r="E101" s="462"/>
      <c r="F101" s="462"/>
      <c r="G101" s="462"/>
      <c r="H101" s="462"/>
      <c r="I101" s="462"/>
      <c r="J101" s="215">
        <v>85.2</v>
      </c>
      <c r="K101" s="208"/>
      <c r="L101" s="208">
        <f>J101-I101</f>
        <v>85.2</v>
      </c>
    </row>
    <row r="102" spans="1:12" ht="18.75" hidden="1" x14ac:dyDescent="0.25">
      <c r="A102" s="209">
        <f>IFERROR(VLOOKUP(F102,[1]Реестр!A:K,3,0)*H102/G102,"")</f>
        <v>6.3749999999999991</v>
      </c>
      <c r="B102" s="209">
        <f>IFERROR(VLOOKUP(F102,[1]Реестр!A:K,4,0)*H102/G102,"")</f>
        <v>5.7499999999999991</v>
      </c>
      <c r="C102" s="209">
        <f>IFERROR(VLOOKUP(F102,[1]Реестр!A:K,5,0)*H102/G102,"")</f>
        <v>0.375</v>
      </c>
      <c r="D102" s="209">
        <f>IFERROR(VLOOKUP(F102,[1]Реестр!A:K,6,0)*H102/G102,"")</f>
        <v>78.75</v>
      </c>
      <c r="E102" s="210" t="str">
        <f>IFERROR(VLOOKUP(F102,[1]Реестр!A:K,11,0),"")</f>
        <v>4*57</v>
      </c>
      <c r="F102" s="279" t="s">
        <v>162</v>
      </c>
      <c r="G102" s="211" t="str">
        <f>IFERROR(VLOOKUP(F102,[1]Реестр!A:K,2,0),"")</f>
        <v>40</v>
      </c>
      <c r="H102" s="143">
        <v>50</v>
      </c>
      <c r="I102" s="450">
        <v>108.64</v>
      </c>
      <c r="K102" s="208"/>
    </row>
    <row r="103" spans="1:12" ht="18.75" hidden="1" customHeight="1" x14ac:dyDescent="0.25">
      <c r="A103" s="209">
        <v>7.23</v>
      </c>
      <c r="B103" s="243">
        <v>12.83</v>
      </c>
      <c r="C103" s="243">
        <v>34.92</v>
      </c>
      <c r="D103" s="243">
        <v>275.69060599999995</v>
      </c>
      <c r="E103" s="242" t="str">
        <f>"2/73 (МР 2.4.0162-19 № 54-29к-2020)"</f>
        <v>2/73 (МР 2.4.0162-19 № 54-29к-2020)</v>
      </c>
      <c r="F103" s="228" t="s">
        <v>606</v>
      </c>
      <c r="G103" s="211" t="str">
        <f>IFERROR(VLOOKUP(F103,[1]Реестр!A:K,2,0),"")</f>
        <v/>
      </c>
      <c r="H103" s="143">
        <v>200</v>
      </c>
      <c r="I103" s="451"/>
      <c r="K103" s="208"/>
    </row>
    <row r="104" spans="1:12" ht="18.75" hidden="1" x14ac:dyDescent="0.25">
      <c r="A104" s="209">
        <f>IFERROR(VLOOKUP(F104,[1]Реестр!A:K,3,0)*H104/G104,"")</f>
        <v>0.17499999999999999</v>
      </c>
      <c r="B104" s="209">
        <f>IFERROR(VLOOKUP(F104,[1]Реестр!A:K,4,0)*H104/G104,"")</f>
        <v>0.105</v>
      </c>
      <c r="C104" s="209">
        <f>IFERROR(VLOOKUP(F104,[1]Реестр!A:K,5,0)*H104/G104,"")</f>
        <v>10.01</v>
      </c>
      <c r="D104" s="209">
        <f>IFERROR(VLOOKUP(F104,[1]Реестр!A:K,6,0)*H104/G104,"")</f>
        <v>40.6</v>
      </c>
      <c r="E104" s="210" t="str">
        <f>IFERROR(VLOOKUP(F104,[1]Реестр!A:K,11,0),"")</f>
        <v>12*2</v>
      </c>
      <c r="F104" s="279" t="s">
        <v>371</v>
      </c>
      <c r="G104" s="211" t="str">
        <f>IFERROR(VLOOKUP(F104,[1]Реестр!A:K,2,0),"")</f>
        <v>100</v>
      </c>
      <c r="H104" s="143">
        <v>35</v>
      </c>
      <c r="I104" s="451"/>
      <c r="K104" s="208"/>
    </row>
    <row r="105" spans="1:12" ht="18.75" hidden="1" x14ac:dyDescent="0.25">
      <c r="A105" s="243">
        <v>0.18</v>
      </c>
      <c r="B105" s="243">
        <v>0.04</v>
      </c>
      <c r="C105" s="243">
        <v>13.75</v>
      </c>
      <c r="D105" s="243">
        <v>53.136642799999997</v>
      </c>
      <c r="E105" s="210" t="s">
        <v>353</v>
      </c>
      <c r="F105" s="228" t="s">
        <v>563</v>
      </c>
      <c r="G105" s="211" t="str">
        <f>IFERROR(VLOOKUP(F105,[1]Реестр!A:K,2,0),"")</f>
        <v/>
      </c>
      <c r="H105" s="143" t="str">
        <f>"200"</f>
        <v>200</v>
      </c>
      <c r="I105" s="451"/>
      <c r="K105" s="208"/>
    </row>
    <row r="106" spans="1:12" ht="18.75" hidden="1" x14ac:dyDescent="0.25">
      <c r="A106" s="209">
        <f>IFERROR(VLOOKUP(F106,[1]Реестр!A:K,3,0)*H106/G106,"")</f>
        <v>1.32</v>
      </c>
      <c r="B106" s="209">
        <f>IFERROR(VLOOKUP(F106,[1]Реестр!A:K,4,0)*H106/G106,"")</f>
        <v>0.24</v>
      </c>
      <c r="C106" s="209">
        <f>IFERROR(VLOOKUP(F106,[1]Реестр!A:K,5,0)*H106/G106,"")</f>
        <v>6.68</v>
      </c>
      <c r="D106" s="209">
        <f>IFERROR(VLOOKUP(F106,[1]Реестр!A:K,6,0)*H106/G106,"")</f>
        <v>38.6</v>
      </c>
      <c r="E106" s="210" t="str">
        <f>IFERROR(VLOOKUP(F106,[1]Реестр!A:K,11,0),"")</f>
        <v>-</v>
      </c>
      <c r="F106" s="217" t="s">
        <v>65</v>
      </c>
      <c r="G106" s="211" t="str">
        <f>IFERROR(VLOOKUP(F106,[1]Реестр!A:K,2,0),"")</f>
        <v>100</v>
      </c>
      <c r="H106" s="229" t="str">
        <f>"20"</f>
        <v>20</v>
      </c>
      <c r="I106" s="451"/>
      <c r="K106" s="208"/>
    </row>
    <row r="107" spans="1:12" ht="18.75" hidden="1" x14ac:dyDescent="0.3">
      <c r="A107" s="209">
        <f>IFERROR(VLOOKUP(F107,[1]Реестр!A:K,3,0)*H107/G107,"")</f>
        <v>1.32</v>
      </c>
      <c r="B107" s="209">
        <f>IFERROR(VLOOKUP(F107,[1]Реестр!A:K,4,0)*H107/G107,"")</f>
        <v>0.12</v>
      </c>
      <c r="C107" s="209">
        <f>IFERROR(VLOOKUP(F107,[1]Реестр!A:K,5,0)*H107/G107,"")</f>
        <v>9.36</v>
      </c>
      <c r="D107" s="209">
        <f>IFERROR(VLOOKUP(F107,[1]Реестр!A:K,6,0)*H107/G107,"")</f>
        <v>44.8</v>
      </c>
      <c r="E107" s="210" t="str">
        <f>IFERROR(VLOOKUP(F107,[1]Реестр!A:K,11,0),"")</f>
        <v>-</v>
      </c>
      <c r="F107" s="217" t="s">
        <v>66</v>
      </c>
      <c r="G107" s="211" t="str">
        <f>IFERROR(VLOOKUP(F107,[1]Реестр!A:K,2,0),"")</f>
        <v>100</v>
      </c>
      <c r="H107" s="206">
        <v>20</v>
      </c>
      <c r="I107" s="452"/>
      <c r="K107" s="208"/>
    </row>
    <row r="108" spans="1:12" ht="18.75" hidden="1" x14ac:dyDescent="0.3">
      <c r="A108" s="464" t="s">
        <v>16</v>
      </c>
      <c r="B108" s="464"/>
      <c r="C108" s="464"/>
      <c r="D108" s="464"/>
      <c r="E108" s="464"/>
      <c r="F108" s="464"/>
      <c r="G108" s="205"/>
      <c r="H108" s="206"/>
      <c r="I108" s="207">
        <f>SUM(I102)</f>
        <v>108.64</v>
      </c>
      <c r="K108" s="208"/>
    </row>
    <row r="109" spans="1:12" ht="18.75" hidden="1" x14ac:dyDescent="0.3">
      <c r="A109" s="462" t="s">
        <v>566</v>
      </c>
      <c r="B109" s="462"/>
      <c r="C109" s="462"/>
      <c r="D109" s="462"/>
      <c r="E109" s="462"/>
      <c r="F109" s="462"/>
      <c r="G109" s="462"/>
      <c r="H109" s="462"/>
      <c r="I109" s="462"/>
      <c r="K109" s="208"/>
    </row>
    <row r="110" spans="1:12" ht="18.75" hidden="1" x14ac:dyDescent="0.25">
      <c r="A110" s="279">
        <v>14.01</v>
      </c>
      <c r="B110" s="209">
        <v>6.2079999999999993</v>
      </c>
      <c r="C110" s="209">
        <v>12.072000000000001</v>
      </c>
      <c r="D110" s="209">
        <v>117.68388800000001</v>
      </c>
      <c r="E110" s="210" t="s">
        <v>628</v>
      </c>
      <c r="F110" s="279" t="s">
        <v>629</v>
      </c>
      <c r="G110" s="211" t="str">
        <f>IFERROR(VLOOKUP(F110,[2]Реестр!A:K,2,0),"")</f>
        <v/>
      </c>
      <c r="H110" s="263" t="s">
        <v>81</v>
      </c>
      <c r="I110" s="450">
        <v>162.94999999999999</v>
      </c>
      <c r="K110" s="208"/>
    </row>
    <row r="111" spans="1:12" ht="30" hidden="1" x14ac:dyDescent="0.25">
      <c r="A111" s="263">
        <v>12.44</v>
      </c>
      <c r="B111" s="263">
        <v>7.77</v>
      </c>
      <c r="C111" s="263">
        <v>25.16</v>
      </c>
      <c r="D111" s="263">
        <v>208</v>
      </c>
      <c r="E111" s="228" t="str">
        <f>"6/57 (2004 № 139)"</f>
        <v>6/57 (2004 № 139)</v>
      </c>
      <c r="F111" s="228" t="s">
        <v>603</v>
      </c>
      <c r="G111" s="211" t="str">
        <f>IFERROR(VLOOKUP(F111,[2]Реестр!A:K,2,0),"")</f>
        <v/>
      </c>
      <c r="H111" s="243" t="str">
        <f>"250"</f>
        <v>250</v>
      </c>
      <c r="I111" s="451"/>
      <c r="K111" s="208"/>
    </row>
    <row r="112" spans="1:12" ht="18.75" hidden="1" x14ac:dyDescent="0.25">
      <c r="A112" s="263">
        <v>15.55</v>
      </c>
      <c r="B112" s="263">
        <v>18.7</v>
      </c>
      <c r="C112" s="263">
        <v>44.29</v>
      </c>
      <c r="D112" s="263">
        <v>408.6</v>
      </c>
      <c r="E112" s="228" t="str">
        <f>"9/17"</f>
        <v>9/17</v>
      </c>
      <c r="F112" s="228" t="s">
        <v>631</v>
      </c>
      <c r="G112" s="211"/>
      <c r="H112" s="266">
        <v>200</v>
      </c>
      <c r="I112" s="451"/>
      <c r="K112" s="208"/>
    </row>
    <row r="113" spans="1:11" ht="18.75" hidden="1" x14ac:dyDescent="0.25">
      <c r="A113" s="263">
        <v>0.18</v>
      </c>
      <c r="B113" s="263">
        <v>0.04</v>
      </c>
      <c r="C113" s="263">
        <v>13.75</v>
      </c>
      <c r="D113" s="263">
        <v>53.136642799999997</v>
      </c>
      <c r="E113" s="228" t="str">
        <f>"11/74"</f>
        <v>11/74</v>
      </c>
      <c r="F113" s="228" t="s">
        <v>632</v>
      </c>
      <c r="G113" s="211"/>
      <c r="H113" s="263" t="s">
        <v>118</v>
      </c>
      <c r="I113" s="451"/>
      <c r="K113" s="208"/>
    </row>
    <row r="114" spans="1:11" ht="18.75" hidden="1" customHeight="1" x14ac:dyDescent="0.25">
      <c r="A114" s="264">
        <v>2.64</v>
      </c>
      <c r="B114" s="264">
        <v>0.48</v>
      </c>
      <c r="C114" s="264">
        <v>16.68</v>
      </c>
      <c r="D114" s="264">
        <v>77.352000000000004</v>
      </c>
      <c r="E114" s="228" t="str">
        <f>"-"</f>
        <v>-</v>
      </c>
      <c r="F114" s="217" t="s">
        <v>66</v>
      </c>
      <c r="G114" s="211"/>
      <c r="H114" s="264" t="str">
        <f>"40"</f>
        <v>40</v>
      </c>
      <c r="I114" s="451"/>
      <c r="K114" s="208"/>
    </row>
    <row r="115" spans="1:11" ht="18.75" hidden="1" x14ac:dyDescent="0.25">
      <c r="A115" s="264">
        <v>2.64</v>
      </c>
      <c r="B115" s="264">
        <v>0.48</v>
      </c>
      <c r="C115" s="264">
        <v>16.68</v>
      </c>
      <c r="D115" s="264">
        <v>77.352000000000004</v>
      </c>
      <c r="E115" s="265" t="str">
        <f>"-"</f>
        <v>-</v>
      </c>
      <c r="F115" s="217" t="s">
        <v>65</v>
      </c>
      <c r="G115" s="211" t="str">
        <f>IFERROR(VLOOKUP(F115,[2]Реестр!A:K,2,0),"")</f>
        <v>100</v>
      </c>
      <c r="H115" s="264" t="str">
        <f>"40"</f>
        <v>40</v>
      </c>
      <c r="I115" s="451"/>
      <c r="K115" s="208"/>
    </row>
    <row r="116" spans="1:11" ht="18.75" hidden="1" x14ac:dyDescent="0.25">
      <c r="A116" s="241"/>
      <c r="B116" s="241"/>
      <c r="C116" s="241"/>
      <c r="D116" s="241"/>
      <c r="E116" s="265"/>
      <c r="F116" s="217"/>
      <c r="G116" s="211"/>
      <c r="H116" s="269"/>
      <c r="I116" s="451"/>
      <c r="K116" s="208"/>
    </row>
    <row r="117" spans="1:11" ht="18.75" hidden="1" x14ac:dyDescent="0.3">
      <c r="A117" s="464" t="s">
        <v>16</v>
      </c>
      <c r="B117" s="464"/>
      <c r="C117" s="464"/>
      <c r="D117" s="464"/>
      <c r="E117" s="464"/>
      <c r="F117" s="464"/>
      <c r="G117" s="205"/>
      <c r="H117" s="206"/>
      <c r="I117" s="207">
        <f>SUM(I110:I116)</f>
        <v>162.94999999999999</v>
      </c>
      <c r="K117" s="208"/>
    </row>
    <row r="118" spans="1:11" ht="18.75" hidden="1" x14ac:dyDescent="0.3">
      <c r="A118" s="462" t="s">
        <v>550</v>
      </c>
      <c r="B118" s="462"/>
      <c r="C118" s="462"/>
      <c r="D118" s="462"/>
      <c r="E118" s="462"/>
      <c r="F118" s="462"/>
      <c r="G118" s="462"/>
      <c r="H118" s="462"/>
      <c r="I118" s="462"/>
      <c r="K118" s="208"/>
    </row>
    <row r="119" spans="1:11" ht="18.75" hidden="1" x14ac:dyDescent="0.25">
      <c r="A119" s="279">
        <v>14.01</v>
      </c>
      <c r="B119" s="209">
        <v>6.2079999999999993</v>
      </c>
      <c r="C119" s="209">
        <v>12.072000000000001</v>
      </c>
      <c r="D119" s="209">
        <v>117.68388800000001</v>
      </c>
      <c r="E119" s="210" t="s">
        <v>628</v>
      </c>
      <c r="F119" s="279" t="s">
        <v>629</v>
      </c>
      <c r="G119" s="211" t="str">
        <f>IFERROR(VLOOKUP(F119,[2]Реестр!A:K,2,0),"")</f>
        <v/>
      </c>
      <c r="H119" s="263" t="s">
        <v>81</v>
      </c>
      <c r="I119" s="450">
        <v>162.94999999999999</v>
      </c>
      <c r="K119" s="208"/>
    </row>
    <row r="120" spans="1:11" ht="30" hidden="1" x14ac:dyDescent="0.25">
      <c r="A120" s="263">
        <v>12.44</v>
      </c>
      <c r="B120" s="263">
        <v>7.77</v>
      </c>
      <c r="C120" s="263">
        <v>25.16</v>
      </c>
      <c r="D120" s="263">
        <v>208</v>
      </c>
      <c r="E120" s="228" t="str">
        <f>"6/57 (2004 № 139)"</f>
        <v>6/57 (2004 № 139)</v>
      </c>
      <c r="F120" s="267" t="s">
        <v>603</v>
      </c>
      <c r="G120" s="211" t="str">
        <f>IFERROR(VLOOKUP(F120,[2]Реестр!A:K,2,0),"")</f>
        <v/>
      </c>
      <c r="H120" s="243" t="str">
        <f>"250"</f>
        <v>250</v>
      </c>
      <c r="I120" s="451"/>
      <c r="K120" s="208"/>
    </row>
    <row r="121" spans="1:11" ht="18.75" hidden="1" x14ac:dyDescent="0.25">
      <c r="A121" s="263">
        <v>15.55</v>
      </c>
      <c r="B121" s="263">
        <v>18.7</v>
      </c>
      <c r="C121" s="263">
        <v>44.29</v>
      </c>
      <c r="D121" s="263">
        <v>408.6</v>
      </c>
      <c r="E121" s="228" t="str">
        <f>"9/17"</f>
        <v>9/17</v>
      </c>
      <c r="F121" s="228" t="s">
        <v>631</v>
      </c>
      <c r="G121" s="211"/>
      <c r="H121" s="266">
        <v>200</v>
      </c>
      <c r="I121" s="451"/>
      <c r="K121" s="208"/>
    </row>
    <row r="122" spans="1:11" ht="18.75" hidden="1" x14ac:dyDescent="0.25">
      <c r="A122" s="263">
        <v>0.18</v>
      </c>
      <c r="B122" s="263">
        <v>0.04</v>
      </c>
      <c r="C122" s="263">
        <v>13.75</v>
      </c>
      <c r="D122" s="263">
        <v>53.136642799999997</v>
      </c>
      <c r="E122" s="228" t="str">
        <f>"11/56"</f>
        <v>11/56</v>
      </c>
      <c r="F122" s="228" t="s">
        <v>499</v>
      </c>
      <c r="G122" s="211"/>
      <c r="H122" s="243" t="str">
        <f>"200"</f>
        <v>200</v>
      </c>
      <c r="I122" s="451"/>
      <c r="K122" s="208"/>
    </row>
    <row r="123" spans="1:11" ht="18.75" hidden="1" x14ac:dyDescent="0.25">
      <c r="A123" s="264">
        <v>2.64</v>
      </c>
      <c r="B123" s="264">
        <v>0.48</v>
      </c>
      <c r="C123" s="264">
        <v>16.68</v>
      </c>
      <c r="D123" s="264">
        <v>77.352000000000004</v>
      </c>
      <c r="E123" s="228" t="str">
        <f>"-"</f>
        <v>-</v>
      </c>
      <c r="F123" s="217" t="s">
        <v>66</v>
      </c>
      <c r="G123" s="211"/>
      <c r="H123" s="264" t="str">
        <f>"40"</f>
        <v>40</v>
      </c>
      <c r="I123" s="451"/>
      <c r="K123" s="208"/>
    </row>
    <row r="124" spans="1:11" ht="18.75" hidden="1" x14ac:dyDescent="0.25">
      <c r="A124" s="264">
        <v>2.64</v>
      </c>
      <c r="B124" s="264">
        <v>0.48</v>
      </c>
      <c r="C124" s="264">
        <v>16.68</v>
      </c>
      <c r="D124" s="264">
        <v>77.352000000000004</v>
      </c>
      <c r="E124" s="265" t="str">
        <f>"-"</f>
        <v>-</v>
      </c>
      <c r="F124" s="217" t="s">
        <v>65</v>
      </c>
      <c r="G124" s="211" t="str">
        <f>IFERROR(VLOOKUP(F124,[2]Реестр!A:K,2,0),"")</f>
        <v>100</v>
      </c>
      <c r="H124" s="264" t="str">
        <f>"40"</f>
        <v>40</v>
      </c>
      <c r="I124" s="451"/>
      <c r="K124" s="208"/>
    </row>
    <row r="125" spans="1:11" ht="18.75" hidden="1" x14ac:dyDescent="0.25">
      <c r="A125" s="264"/>
      <c r="B125" s="264"/>
      <c r="C125" s="264"/>
      <c r="D125" s="264"/>
      <c r="E125" s="265"/>
      <c r="F125" s="217"/>
      <c r="G125" s="211"/>
      <c r="H125" s="264"/>
      <c r="I125" s="451"/>
      <c r="K125" s="208"/>
    </row>
    <row r="126" spans="1:11" ht="18.75" hidden="1" x14ac:dyDescent="0.3">
      <c r="A126" s="464" t="s">
        <v>16</v>
      </c>
      <c r="B126" s="464"/>
      <c r="C126" s="464"/>
      <c r="D126" s="464"/>
      <c r="E126" s="464"/>
      <c r="F126" s="464"/>
      <c r="G126" s="205"/>
      <c r="H126" s="206"/>
      <c r="I126" s="207">
        <f>SUM(I119)</f>
        <v>162.94999999999999</v>
      </c>
      <c r="K126" s="208"/>
    </row>
    <row r="127" spans="1:11" ht="18.75" hidden="1" x14ac:dyDescent="0.3">
      <c r="A127" s="465" t="s">
        <v>502</v>
      </c>
      <c r="B127" s="466"/>
      <c r="C127" s="466"/>
      <c r="D127" s="466"/>
      <c r="E127" s="466"/>
      <c r="F127" s="466"/>
      <c r="G127" s="466"/>
      <c r="H127" s="466"/>
      <c r="I127" s="467"/>
      <c r="K127" s="208"/>
    </row>
    <row r="128" spans="1:11" ht="18.75" hidden="1" x14ac:dyDescent="0.25">
      <c r="A128" s="279">
        <v>14.01</v>
      </c>
      <c r="B128" s="209">
        <v>6.2079999999999993</v>
      </c>
      <c r="C128" s="209">
        <v>12.072000000000001</v>
      </c>
      <c r="D128" s="209">
        <v>117.68388800000001</v>
      </c>
      <c r="E128" s="210" t="s">
        <v>628</v>
      </c>
      <c r="F128" s="279" t="s">
        <v>629</v>
      </c>
      <c r="G128" s="211" t="str">
        <f>IFERROR(VLOOKUP(F128,[2]Реестр!A:K,2,0),"")</f>
        <v/>
      </c>
      <c r="H128" s="210">
        <v>60</v>
      </c>
      <c r="I128" s="230">
        <v>17.100000000000001</v>
      </c>
      <c r="K128" s="208"/>
    </row>
    <row r="129" spans="1:11" ht="18.75" hidden="1" x14ac:dyDescent="0.3">
      <c r="A129" s="209">
        <v>8.9166666666666661</v>
      </c>
      <c r="B129" s="209">
        <v>7.75</v>
      </c>
      <c r="C129" s="209">
        <v>19.5</v>
      </c>
      <c r="D129" s="209">
        <v>185</v>
      </c>
      <c r="E129" s="210" t="s">
        <v>213</v>
      </c>
      <c r="F129" s="279" t="s">
        <v>212</v>
      </c>
      <c r="G129" s="211" t="str">
        <f>IFERROR(VLOOKUP(F129,[2]Реестр!A:K,2,0),"")</f>
        <v>300</v>
      </c>
      <c r="H129" s="206">
        <v>250</v>
      </c>
      <c r="I129" s="207">
        <v>42</v>
      </c>
      <c r="K129" s="208"/>
    </row>
    <row r="130" spans="1:11" ht="18.75" hidden="1" x14ac:dyDescent="0.3">
      <c r="A130" s="209">
        <v>21.712499999999999</v>
      </c>
      <c r="B130" s="209">
        <v>11.317500000000001</v>
      </c>
      <c r="C130" s="209">
        <v>38.486249999999998</v>
      </c>
      <c r="D130" s="209">
        <v>342.65249999999997</v>
      </c>
      <c r="E130" s="210" t="s">
        <v>630</v>
      </c>
      <c r="F130" s="279" t="s">
        <v>631</v>
      </c>
      <c r="G130" s="211" t="str">
        <f>IFERROR(VLOOKUP(F130,[2]Реестр!A:K,2,0),"")</f>
        <v/>
      </c>
      <c r="H130" s="206">
        <v>200</v>
      </c>
      <c r="I130" s="206">
        <v>87.64</v>
      </c>
      <c r="K130" s="208"/>
    </row>
    <row r="131" spans="1:11" ht="18.75" hidden="1" x14ac:dyDescent="0.3">
      <c r="A131" s="209">
        <v>0.2</v>
      </c>
      <c r="B131" s="209">
        <v>0</v>
      </c>
      <c r="C131" s="209">
        <v>13.7</v>
      </c>
      <c r="D131" s="209">
        <v>53</v>
      </c>
      <c r="E131" s="210" t="s">
        <v>353</v>
      </c>
      <c r="F131" s="279" t="s">
        <v>499</v>
      </c>
      <c r="G131" s="211" t="str">
        <f>IFERROR(VLOOKUP(F131,[2]Реестр!A:K,2,0),"")</f>
        <v>200</v>
      </c>
      <c r="H131" s="206">
        <v>200</v>
      </c>
      <c r="I131" s="207">
        <v>4.38</v>
      </c>
      <c r="K131" s="208"/>
    </row>
    <row r="132" spans="1:11" ht="18.75" hidden="1" x14ac:dyDescent="0.3">
      <c r="A132" s="209">
        <v>2.64</v>
      </c>
      <c r="B132" s="209">
        <v>0.24</v>
      </c>
      <c r="C132" s="209">
        <v>18.72</v>
      </c>
      <c r="D132" s="209">
        <v>89.6</v>
      </c>
      <c r="E132" s="210" t="s">
        <v>471</v>
      </c>
      <c r="F132" s="217" t="s">
        <v>66</v>
      </c>
      <c r="G132" s="211" t="str">
        <f>IFERROR(VLOOKUP(F132,[2]Реестр!A:K,2,0),"")</f>
        <v>100</v>
      </c>
      <c r="H132" s="206">
        <v>35</v>
      </c>
      <c r="I132" s="207">
        <v>3.05</v>
      </c>
      <c r="K132" s="208"/>
    </row>
    <row r="133" spans="1:11" ht="18.75" hidden="1" x14ac:dyDescent="0.3">
      <c r="A133" s="209">
        <v>2.97</v>
      </c>
      <c r="B133" s="209">
        <v>0.54</v>
      </c>
      <c r="C133" s="209">
        <v>15.03</v>
      </c>
      <c r="D133" s="209">
        <v>86.85</v>
      </c>
      <c r="E133" s="210" t="s">
        <v>471</v>
      </c>
      <c r="F133" s="217" t="s">
        <v>65</v>
      </c>
      <c r="G133" s="211" t="str">
        <f>IFERROR(VLOOKUP(F133,[2]Реестр!A:K,2,0),"")</f>
        <v>100</v>
      </c>
      <c r="H133" s="206">
        <v>31</v>
      </c>
      <c r="I133" s="207">
        <v>2.83</v>
      </c>
      <c r="K133" s="208"/>
    </row>
    <row r="134" spans="1:11" ht="18.75" hidden="1" x14ac:dyDescent="0.3">
      <c r="A134" s="201">
        <v>9.68</v>
      </c>
      <c r="B134" s="201">
        <v>7.2</v>
      </c>
      <c r="C134" s="201">
        <v>34.64</v>
      </c>
      <c r="D134" s="201">
        <v>244</v>
      </c>
      <c r="E134" s="210" t="s">
        <v>404</v>
      </c>
      <c r="F134" s="279" t="s">
        <v>440</v>
      </c>
      <c r="G134" s="211">
        <f>IFERROR(VLOOKUP(F134,[2]Реестр!A:K,2,0),"")</f>
        <v>100</v>
      </c>
      <c r="H134" s="206">
        <v>100</v>
      </c>
      <c r="I134" s="207">
        <v>42</v>
      </c>
      <c r="K134" s="208"/>
    </row>
    <row r="135" spans="1:11" ht="18.75" hidden="1" x14ac:dyDescent="0.3">
      <c r="A135" s="209"/>
      <c r="B135" s="209"/>
      <c r="C135" s="209"/>
      <c r="D135" s="209"/>
      <c r="E135" s="210"/>
      <c r="F135" s="217"/>
      <c r="G135" s="211"/>
      <c r="H135" s="206"/>
      <c r="I135" s="207"/>
      <c r="K135" s="208"/>
    </row>
    <row r="136" spans="1:11" ht="18.75" hidden="1" x14ac:dyDescent="0.3">
      <c r="A136" s="464" t="s">
        <v>16</v>
      </c>
      <c r="B136" s="464"/>
      <c r="C136" s="464"/>
      <c r="D136" s="464"/>
      <c r="E136" s="464"/>
      <c r="F136" s="464"/>
      <c r="G136" s="205"/>
      <c r="H136" s="206"/>
      <c r="I136" s="207">
        <f>SUM(I128:I135)</f>
        <v>199.00000000000003</v>
      </c>
      <c r="J136" s="215">
        <v>199</v>
      </c>
      <c r="K136" s="208"/>
    </row>
    <row r="137" spans="1:11" ht="18.75" hidden="1" x14ac:dyDescent="0.3">
      <c r="A137" s="462" t="s">
        <v>607</v>
      </c>
      <c r="B137" s="462"/>
      <c r="C137" s="462"/>
      <c r="D137" s="462"/>
      <c r="E137" s="462"/>
      <c r="F137" s="462"/>
      <c r="G137" s="462"/>
      <c r="H137" s="462"/>
      <c r="I137" s="462"/>
      <c r="K137" s="208"/>
    </row>
    <row r="138" spans="1:11" ht="18.75" hidden="1" x14ac:dyDescent="0.25">
      <c r="A138" s="209" t="str">
        <f>IFERROR(VLOOKUP(F138,[1]Реестр!A:K,3,0)*H138/G138,"")</f>
        <v/>
      </c>
      <c r="B138" s="209" t="str">
        <f>IFERROR(VLOOKUP(F138,[1]Реестр!A:K,4,0)*H138/G138,"")</f>
        <v/>
      </c>
      <c r="C138" s="209" t="str">
        <f>IFERROR(VLOOKUP(F138,[1]Реестр!A:K,5,0)*H138/G138,"")</f>
        <v/>
      </c>
      <c r="D138" s="209" t="str">
        <f>IFERROR(VLOOKUP(F138,[1]Реестр!A:K,6,0)*H138/G138,"")</f>
        <v/>
      </c>
      <c r="E138" s="210" t="str">
        <f>IFERROR(VLOOKUP(F138,[1]Реестр!A:K,11,0),"")</f>
        <v>8*60</v>
      </c>
      <c r="F138" s="279" t="s">
        <v>608</v>
      </c>
      <c r="G138" s="211" t="str">
        <f>IFERROR(VLOOKUP(F138,[10]Реестр!A:K,2,0),"")</f>
        <v/>
      </c>
      <c r="H138" s="143">
        <v>100</v>
      </c>
      <c r="I138" s="450">
        <v>166</v>
      </c>
      <c r="K138" s="208"/>
    </row>
    <row r="139" spans="1:11" ht="18.75" hidden="1" x14ac:dyDescent="0.25">
      <c r="A139" s="209" t="str">
        <f>IFERROR(VLOOKUP(F139,[1]Реестр!A:K,3,0)*H139/G139,"")</f>
        <v/>
      </c>
      <c r="B139" s="209" t="str">
        <f>IFERROR(VLOOKUP(F139,[1]Реестр!A:K,4,0)*H139/G139,"")</f>
        <v/>
      </c>
      <c r="C139" s="209" t="str">
        <f>IFERROR(VLOOKUP(F139,[1]Реестр!A:K,5,0)*H139/G139,"")</f>
        <v/>
      </c>
      <c r="D139" s="209" t="str">
        <f>IFERROR(VLOOKUP(F139,[1]Реестр!A:K,6,0)*H139/G139,"")</f>
        <v/>
      </c>
      <c r="E139" s="210" t="str">
        <f>IFERROR(VLOOKUP(F139,[1]Реестр!A:K,11,0),"")</f>
        <v>10*5</v>
      </c>
      <c r="F139" s="279" t="s">
        <v>560</v>
      </c>
      <c r="G139" s="211"/>
      <c r="H139" s="143">
        <v>150</v>
      </c>
      <c r="I139" s="451"/>
      <c r="K139" s="208"/>
    </row>
    <row r="140" spans="1:11" ht="18.75" hidden="1" x14ac:dyDescent="0.25">
      <c r="A140" s="209">
        <f>IFERROR(VLOOKUP(F140,[1]Реестр!A:K,3,0)*H140/G140,"")</f>
        <v>0.2</v>
      </c>
      <c r="B140" s="209">
        <f>IFERROR(VLOOKUP(F140,[1]Реестр!A:K,4,0)*H140/G140,"")</f>
        <v>0.1</v>
      </c>
      <c r="C140" s="209">
        <f>IFERROR(VLOOKUP(F140,[1]Реестр!A:K,5,0)*H140/G140,"")</f>
        <v>9.4</v>
      </c>
      <c r="D140" s="209">
        <f>IFERROR(VLOOKUP(F140,[1]Реестр!A:K,6,0)*H140/G140,"")</f>
        <v>38</v>
      </c>
      <c r="E140" s="210" t="str">
        <f>IFERROR(VLOOKUP(F140,[1]Реестр!A:K,11,0),"")</f>
        <v>11*18</v>
      </c>
      <c r="F140" s="279" t="s">
        <v>519</v>
      </c>
      <c r="G140" s="211" t="str">
        <f>IFERROR(VLOOKUP(F140,[10]Реестр!A:K,2,0),"")</f>
        <v>200</v>
      </c>
      <c r="H140" s="143">
        <v>200</v>
      </c>
      <c r="I140" s="452"/>
      <c r="K140" s="208"/>
    </row>
    <row r="141" spans="1:11" ht="18.75" hidden="1" x14ac:dyDescent="0.3">
      <c r="A141" s="453" t="s">
        <v>16</v>
      </c>
      <c r="B141" s="454"/>
      <c r="C141" s="454"/>
      <c r="D141" s="454"/>
      <c r="E141" s="454"/>
      <c r="F141" s="455"/>
      <c r="G141" s="205"/>
      <c r="H141" s="206"/>
      <c r="I141" s="207">
        <f>SUM(I138:I140)</f>
        <v>166</v>
      </c>
      <c r="K141" s="208"/>
    </row>
    <row r="142" spans="1:11" ht="18.75" hidden="1" x14ac:dyDescent="0.3">
      <c r="A142" s="465" t="s">
        <v>609</v>
      </c>
      <c r="B142" s="466"/>
      <c r="C142" s="466"/>
      <c r="D142" s="466"/>
      <c r="E142" s="466"/>
      <c r="F142" s="466"/>
      <c r="G142" s="466"/>
      <c r="H142" s="466"/>
      <c r="I142" s="467"/>
      <c r="K142" s="208"/>
    </row>
    <row r="143" spans="1:11" ht="18.75" hidden="1" x14ac:dyDescent="0.25">
      <c r="A143" s="209">
        <v>13.9</v>
      </c>
      <c r="B143" s="209">
        <v>12.5</v>
      </c>
      <c r="C143" s="209">
        <v>3.8</v>
      </c>
      <c r="D143" s="209">
        <v>184</v>
      </c>
      <c r="E143" s="210" t="s">
        <v>286</v>
      </c>
      <c r="F143" s="279" t="s">
        <v>610</v>
      </c>
      <c r="G143" s="211" t="str">
        <f>IFERROR(VLOOKUP(F143,[10]Реестр!A:K,2,0),"")</f>
        <v/>
      </c>
      <c r="H143" s="143">
        <v>100</v>
      </c>
      <c r="I143" s="450">
        <v>166</v>
      </c>
      <c r="K143" s="208"/>
    </row>
    <row r="144" spans="1:11" ht="18.75" hidden="1" x14ac:dyDescent="0.25">
      <c r="A144" s="209">
        <v>2.4</v>
      </c>
      <c r="B144" s="209">
        <v>3.7</v>
      </c>
      <c r="C144" s="209">
        <v>23.4</v>
      </c>
      <c r="D144" s="209">
        <v>138</v>
      </c>
      <c r="E144" s="210" t="s">
        <v>189</v>
      </c>
      <c r="F144" s="279" t="s">
        <v>182</v>
      </c>
      <c r="G144" s="211"/>
      <c r="H144" s="143">
        <v>150</v>
      </c>
      <c r="I144" s="451"/>
      <c r="K144" s="208"/>
    </row>
    <row r="145" spans="1:11" ht="18.75" hidden="1" x14ac:dyDescent="0.25">
      <c r="A145" s="209">
        <f>IFERROR(VLOOKUP(F145,[1]Реестр!A:K,3,0)*H145/G145,"")</f>
        <v>0.2</v>
      </c>
      <c r="B145" s="209">
        <f>IFERROR(VLOOKUP(F145,[1]Реестр!A:K,4,0)*H145/G145,"")</f>
        <v>0.1</v>
      </c>
      <c r="C145" s="209">
        <f>IFERROR(VLOOKUP(F145,[1]Реестр!A:K,5,0)*H145/G145,"")</f>
        <v>9.4</v>
      </c>
      <c r="D145" s="209">
        <f>IFERROR(VLOOKUP(F145,[1]Реестр!A:K,6,0)*H145/G145,"")</f>
        <v>38</v>
      </c>
      <c r="E145" s="210" t="str">
        <f>IFERROR(VLOOKUP(F145,[1]Реестр!A:K,11,0),"")</f>
        <v>11*18</v>
      </c>
      <c r="F145" s="279" t="s">
        <v>519</v>
      </c>
      <c r="G145" s="211" t="str">
        <f>IFERROR(VLOOKUP(F145,[10]Реестр!A:K,2,0),"")</f>
        <v>200</v>
      </c>
      <c r="H145" s="143">
        <v>200</v>
      </c>
      <c r="I145" s="452"/>
      <c r="K145" s="208"/>
    </row>
    <row r="146" spans="1:11" ht="18.75" hidden="1" x14ac:dyDescent="0.3">
      <c r="A146" s="453" t="s">
        <v>16</v>
      </c>
      <c r="B146" s="454"/>
      <c r="C146" s="454"/>
      <c r="D146" s="454"/>
      <c r="E146" s="454"/>
      <c r="F146" s="455"/>
      <c r="G146" s="205"/>
      <c r="H146" s="206"/>
      <c r="I146" s="207">
        <f>SUM(I143:I145)</f>
        <v>166</v>
      </c>
    </row>
    <row r="147" spans="1:11" ht="18.75" x14ac:dyDescent="0.3">
      <c r="A147" s="462" t="s">
        <v>654</v>
      </c>
      <c r="B147" s="462"/>
      <c r="C147" s="462"/>
      <c r="D147" s="462"/>
      <c r="E147" s="462"/>
      <c r="F147" s="462"/>
      <c r="G147" s="462"/>
      <c r="H147" s="462"/>
      <c r="I147" s="462"/>
    </row>
    <row r="148" spans="1:11" ht="18.75" x14ac:dyDescent="0.25">
      <c r="A148" s="279">
        <v>14.01</v>
      </c>
      <c r="B148" s="209">
        <v>6.2079999999999993</v>
      </c>
      <c r="C148" s="209">
        <v>12.072000000000001</v>
      </c>
      <c r="D148" s="209">
        <v>117.68388800000001</v>
      </c>
      <c r="E148" s="210" t="s">
        <v>628</v>
      </c>
      <c r="F148" s="279" t="s">
        <v>629</v>
      </c>
      <c r="G148" s="211" t="str">
        <f>IFERROR(VLOOKUP(F148,[2]Реестр!A:K,2,0),"")</f>
        <v/>
      </c>
      <c r="H148" s="210">
        <v>80</v>
      </c>
      <c r="I148" s="230">
        <v>21.73</v>
      </c>
    </row>
    <row r="149" spans="1:11" ht="18.75" x14ac:dyDescent="0.3">
      <c r="A149" s="209">
        <v>8.9166666666666661</v>
      </c>
      <c r="B149" s="209">
        <v>7.75</v>
      </c>
      <c r="C149" s="209">
        <v>19.5</v>
      </c>
      <c r="D149" s="209">
        <v>185</v>
      </c>
      <c r="E149" s="210" t="s">
        <v>213</v>
      </c>
      <c r="F149" s="279" t="s">
        <v>212</v>
      </c>
      <c r="G149" s="211" t="str">
        <f>IFERROR(VLOOKUP(F149,[2]Реестр!A:K,2,0),"")</f>
        <v>300</v>
      </c>
      <c r="H149" s="206">
        <v>250</v>
      </c>
      <c r="I149" s="207">
        <v>42</v>
      </c>
    </row>
    <row r="150" spans="1:11" ht="18.75" x14ac:dyDescent="0.3">
      <c r="A150" s="209">
        <v>17.37</v>
      </c>
      <c r="B150" s="209">
        <v>9.0540000000000003</v>
      </c>
      <c r="C150" s="209">
        <v>30.789000000000001</v>
      </c>
      <c r="D150" s="209">
        <v>274.12200000000001</v>
      </c>
      <c r="E150" s="210" t="s">
        <v>630</v>
      </c>
      <c r="F150" s="279" t="s">
        <v>631</v>
      </c>
      <c r="G150" s="211" t="str">
        <f>IFERROR(VLOOKUP(F150,[2]Реестр!A:K,2,0),"")</f>
        <v/>
      </c>
      <c r="H150" s="206">
        <v>200</v>
      </c>
      <c r="I150" s="206">
        <v>87.64</v>
      </c>
    </row>
    <row r="151" spans="1:11" ht="18.75" x14ac:dyDescent="0.3">
      <c r="A151" s="209">
        <v>0.2</v>
      </c>
      <c r="B151" s="209">
        <v>0</v>
      </c>
      <c r="C151" s="209">
        <v>13.7</v>
      </c>
      <c r="D151" s="209">
        <v>53</v>
      </c>
      <c r="E151" s="210" t="s">
        <v>353</v>
      </c>
      <c r="F151" s="279" t="s">
        <v>499</v>
      </c>
      <c r="G151" s="211" t="str">
        <f>IFERROR(VLOOKUP(F151,[2]Реестр!A:K,2,0),"")</f>
        <v>200</v>
      </c>
      <c r="H151" s="206">
        <v>200</v>
      </c>
      <c r="I151" s="207">
        <v>4.38</v>
      </c>
    </row>
    <row r="152" spans="1:11" ht="18.75" x14ac:dyDescent="0.3">
      <c r="A152" s="209">
        <v>2.64</v>
      </c>
      <c r="B152" s="209">
        <v>0.24</v>
      </c>
      <c r="C152" s="209">
        <v>18.72</v>
      </c>
      <c r="D152" s="209">
        <v>89.6</v>
      </c>
      <c r="E152" s="210" t="s">
        <v>471</v>
      </c>
      <c r="F152" s="217" t="s">
        <v>66</v>
      </c>
      <c r="G152" s="211" t="str">
        <f>IFERROR(VLOOKUP(F152,[2]Реестр!A:K,2,0),"")</f>
        <v>100</v>
      </c>
      <c r="H152" s="206">
        <v>40</v>
      </c>
      <c r="I152" s="207">
        <v>3.6</v>
      </c>
    </row>
    <row r="153" spans="1:11" ht="18.75" x14ac:dyDescent="0.3">
      <c r="A153" s="209">
        <v>2.64</v>
      </c>
      <c r="B153" s="209">
        <v>0.48</v>
      </c>
      <c r="C153" s="209">
        <v>13.36</v>
      </c>
      <c r="D153" s="209">
        <v>77.2</v>
      </c>
      <c r="E153" s="210" t="s">
        <v>471</v>
      </c>
      <c r="F153" s="217" t="s">
        <v>65</v>
      </c>
      <c r="G153" s="211" t="str">
        <f>IFERROR(VLOOKUP(F153,[2]Реестр!A:K,2,0),"")</f>
        <v>100</v>
      </c>
      <c r="H153" s="206">
        <v>40</v>
      </c>
      <c r="I153" s="207">
        <v>3.6</v>
      </c>
    </row>
    <row r="154" spans="1:11" ht="18.75" x14ac:dyDescent="0.3">
      <c r="A154" s="209"/>
      <c r="B154" s="209"/>
      <c r="C154" s="209"/>
      <c r="D154" s="209"/>
      <c r="E154" s="218"/>
      <c r="F154" s="217"/>
      <c r="G154" s="211"/>
      <c r="H154" s="206"/>
      <c r="I154" s="207"/>
    </row>
    <row r="155" spans="1:11" ht="18.75" x14ac:dyDescent="0.3">
      <c r="A155" s="464" t="s">
        <v>16</v>
      </c>
      <c r="B155" s="464"/>
      <c r="C155" s="464"/>
      <c r="D155" s="464"/>
      <c r="E155" s="464"/>
      <c r="F155" s="464"/>
      <c r="G155" s="205"/>
      <c r="H155" s="206"/>
      <c r="I155" s="207">
        <f>SUM(I148:I154)</f>
        <v>162.94999999999999</v>
      </c>
    </row>
    <row r="156" spans="1:11" ht="18.75" x14ac:dyDescent="0.3">
      <c r="A156" s="463" t="s">
        <v>597</v>
      </c>
      <c r="B156" s="463"/>
      <c r="C156" s="463"/>
      <c r="D156" s="463"/>
      <c r="E156" s="463"/>
      <c r="F156" s="463"/>
      <c r="G156" s="463"/>
      <c r="H156" s="463"/>
      <c r="I156" s="463"/>
    </row>
    <row r="157" spans="1:11" ht="18.75" x14ac:dyDescent="0.3">
      <c r="A157" s="168">
        <v>7.7</v>
      </c>
      <c r="B157" s="168">
        <v>7.42</v>
      </c>
      <c r="C157" s="168">
        <v>32.090000000000003</v>
      </c>
      <c r="D157" s="168">
        <v>225.88</v>
      </c>
      <c r="E157" s="169" t="s">
        <v>408</v>
      </c>
      <c r="F157" s="280" t="s">
        <v>605</v>
      </c>
      <c r="G157" s="153" t="str">
        <f>IFERROR(VLOOKUP(F157,[2]Реестр!A:K,2,0),"")</f>
        <v/>
      </c>
      <c r="H157" s="149">
        <v>100</v>
      </c>
      <c r="I157" s="207">
        <v>42</v>
      </c>
    </row>
    <row r="158" spans="1:11" ht="18.75" x14ac:dyDescent="0.3">
      <c r="A158" s="341">
        <v>0.18</v>
      </c>
      <c r="B158" s="341">
        <v>0.04</v>
      </c>
      <c r="C158" s="341">
        <v>13.75</v>
      </c>
      <c r="D158" s="341">
        <v>53.136642799999997</v>
      </c>
      <c r="E158" s="342" t="str">
        <f>"11/56"</f>
        <v>11/56</v>
      </c>
      <c r="F158" s="182" t="s">
        <v>649</v>
      </c>
      <c r="G158" s="153" t="str">
        <f>IFERROR(VLOOKUP(F158,[12]Реестр!A:K,2,0),"")</f>
        <v/>
      </c>
      <c r="H158" s="149">
        <v>200</v>
      </c>
      <c r="I158" s="150">
        <v>8</v>
      </c>
    </row>
    <row r="159" spans="1:11" ht="18.75" x14ac:dyDescent="0.3">
      <c r="A159" s="494" t="s">
        <v>16</v>
      </c>
      <c r="B159" s="494"/>
      <c r="C159" s="494"/>
      <c r="D159" s="494"/>
      <c r="E159" s="494"/>
      <c r="F159" s="494"/>
      <c r="G159" s="164"/>
      <c r="H159" s="149"/>
      <c r="I159" s="150">
        <f>SUM(I157:I158)</f>
        <v>50</v>
      </c>
    </row>
    <row r="160" spans="1:11" ht="18.75" hidden="1" x14ac:dyDescent="0.3">
      <c r="A160" s="251"/>
      <c r="B160" s="251"/>
      <c r="C160" s="251"/>
      <c r="D160" s="251"/>
      <c r="E160" s="251"/>
      <c r="F160" s="251"/>
      <c r="G160" s="271"/>
      <c r="H160" s="255"/>
      <c r="I160" s="256"/>
    </row>
    <row r="161" spans="1:9" ht="18.75" hidden="1" x14ac:dyDescent="0.3">
      <c r="A161" s="251"/>
      <c r="B161" s="251"/>
      <c r="C161" s="251"/>
      <c r="D161" s="251"/>
      <c r="E161" s="251"/>
      <c r="F161" s="251"/>
      <c r="G161" s="271"/>
      <c r="H161" s="255"/>
      <c r="I161" s="256"/>
    </row>
    <row r="162" spans="1:9" ht="18.75" hidden="1" x14ac:dyDescent="0.3">
      <c r="A162" s="251"/>
      <c r="B162" s="251"/>
      <c r="C162" s="251"/>
      <c r="D162" s="251"/>
      <c r="E162" s="251"/>
      <c r="F162" s="251"/>
      <c r="G162" s="271"/>
      <c r="H162" s="255"/>
      <c r="I162" s="256"/>
    </row>
    <row r="163" spans="1:9" ht="18.75" hidden="1" x14ac:dyDescent="0.3">
      <c r="A163" s="251"/>
      <c r="B163" s="251"/>
      <c r="C163" s="251"/>
      <c r="D163" s="251"/>
      <c r="E163" s="251"/>
      <c r="F163" s="251"/>
      <c r="G163" s="271"/>
      <c r="H163" s="255"/>
      <c r="I163" s="256"/>
    </row>
    <row r="164" spans="1:9" ht="18.75" hidden="1" x14ac:dyDescent="0.3">
      <c r="A164" s="251"/>
      <c r="B164" s="251"/>
      <c r="C164" s="251"/>
      <c r="D164" s="251"/>
      <c r="E164" s="251"/>
      <c r="F164" s="251"/>
      <c r="G164" s="271"/>
      <c r="H164" s="255"/>
      <c r="I164" s="256"/>
    </row>
    <row r="165" spans="1:9" ht="18.75" hidden="1" x14ac:dyDescent="0.3">
      <c r="A165" s="251"/>
      <c r="B165" s="251"/>
      <c r="C165" s="251"/>
      <c r="D165" s="251"/>
      <c r="E165" s="251"/>
      <c r="F165" s="251"/>
      <c r="G165" s="271"/>
      <c r="H165" s="255"/>
      <c r="I165" s="256"/>
    </row>
    <row r="167" spans="1:9" ht="18.75" x14ac:dyDescent="0.3">
      <c r="F167" s="254" t="s">
        <v>37</v>
      </c>
      <c r="G167" s="270"/>
      <c r="H167" s="257"/>
      <c r="I167" s="258"/>
    </row>
  </sheetData>
  <autoFilter ref="A4:I93" xr:uid="{00000000-0009-0000-0000-000001000000}"/>
  <mergeCells count="62">
    <mergeCell ref="A156:I156"/>
    <mergeCell ref="A159:F159"/>
    <mergeCell ref="A141:F141"/>
    <mergeCell ref="A142:I142"/>
    <mergeCell ref="I143:I145"/>
    <mergeCell ref="A146:F146"/>
    <mergeCell ref="A147:I147"/>
    <mergeCell ref="A155:F155"/>
    <mergeCell ref="I138:I140"/>
    <mergeCell ref="I102:I107"/>
    <mergeCell ref="A108:F108"/>
    <mergeCell ref="A109:I109"/>
    <mergeCell ref="I110:I116"/>
    <mergeCell ref="A117:F117"/>
    <mergeCell ref="A118:I118"/>
    <mergeCell ref="I119:I125"/>
    <mergeCell ref="A126:F126"/>
    <mergeCell ref="A127:I127"/>
    <mergeCell ref="A136:F136"/>
    <mergeCell ref="A137:I137"/>
    <mergeCell ref="A101:I101"/>
    <mergeCell ref="A71:I71"/>
    <mergeCell ref="A78:F78"/>
    <mergeCell ref="A79:I79"/>
    <mergeCell ref="A81:F81"/>
    <mergeCell ref="A82:I82"/>
    <mergeCell ref="A84:F84"/>
    <mergeCell ref="A85:I85"/>
    <mergeCell ref="A93:F93"/>
    <mergeCell ref="A94:I94"/>
    <mergeCell ref="I95:I99"/>
    <mergeCell ref="A100:F100"/>
    <mergeCell ref="A70:F70"/>
    <mergeCell ref="A22:I22"/>
    <mergeCell ref="A29:F29"/>
    <mergeCell ref="A30:I30"/>
    <mergeCell ref="A38:F38"/>
    <mergeCell ref="A39:I39"/>
    <mergeCell ref="A40:I40"/>
    <mergeCell ref="A46:I46"/>
    <mergeCell ref="A54:F54"/>
    <mergeCell ref="A55:I55"/>
    <mergeCell ref="A56:I56"/>
    <mergeCell ref="A62:I62"/>
    <mergeCell ref="I4:I5"/>
    <mergeCell ref="J4:J5"/>
    <mergeCell ref="A6:I6"/>
    <mergeCell ref="A12:F12"/>
    <mergeCell ref="A13:I13"/>
    <mergeCell ref="G4:G5"/>
    <mergeCell ref="H4:H5"/>
    <mergeCell ref="A21:F21"/>
    <mergeCell ref="A4:C4"/>
    <mergeCell ref="D4:D5"/>
    <mergeCell ref="E4:E5"/>
    <mergeCell ref="F4:F5"/>
    <mergeCell ref="A1:B1"/>
    <mergeCell ref="H1:I1"/>
    <mergeCell ref="H2:I2"/>
    <mergeCell ref="A3:C3"/>
    <mergeCell ref="D3:E3"/>
    <mergeCell ref="H3:I3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0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B7A463B0-5AD4-48E2-B9DA-ABA1C1482D57}">
          <x14:formula1>
            <xm:f>'\\10.54.90.100\Private\Общая\Соцпитание\Технологические карты (мои школьные)\Школьное питание\АИС\Меню на доски (формат PDF)\Сентябрь 2023\[04.09. н1д1.xlsx]Реестр'!#REF!</xm:f>
          </x14:formula1>
          <x14:formula2>
            <xm:f>0</xm:f>
          </x14:formula2>
          <xm:sqref>F134</xm:sqref>
        </x14:dataValidation>
        <x14:dataValidation type="list" allowBlank="1" showInputMessage="1" showErrorMessage="1" xr:uid="{D76458D3-5689-4A7F-B882-41F3D2F9C525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F114 F123</xm:sqref>
        </x14:dataValidation>
        <x14:dataValidation type="list" allowBlank="1" showInputMessage="1" showErrorMessage="1" xr:uid="{F5418EB4-DC60-4B2C-9B8D-B82E3DAD5BE2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F20 F37 F53 F69 F92 F115 F124:F125 F135 F154</xm:sqref>
        </x14:dataValidation>
        <x14:dataValidation type="list" allowBlank="1" showInputMessage="1" showErrorMessage="1" xr:uid="{6B3E30B3-E175-4691-90C3-D3CA207B13F2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F14:F16 F24 F31:F33 F47:F49 F63:F65 F73 F86:F88 F110 F119 F128:F130 F83 F148:F150</xm:sqref>
        </x14:dataValidation>
        <x14:dataValidation type="list" allowBlank="1" showInputMessage="1" showErrorMessage="1" xr:uid="{676B6E94-1BF9-4183-AB39-7EACAE7BD7B0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F19 F27:F28 F36 F52 F68 F76:F77 F91 F133 F153 F10:F11 F60:F61 F44:F45 F98:F99 F105:F106</xm:sqref>
        </x14:dataValidation>
        <x14:dataValidation type="list" allowBlank="1" showInputMessage="1" showErrorMessage="1" xr:uid="{26C605F8-7359-4637-B17D-99A190A97E17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F72 F23 F80 F157</xm:sqref>
        </x14:dataValidation>
        <x14:dataValidation type="list" allowBlank="1" showInputMessage="1" showErrorMessage="1" xr:uid="{0E337A11-5902-4EC9-A4F9-E9EBA2F25453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F10:F11 F60:F61 F44:F45 F98:F99 F105:F106 F19 F27:F28 F36 F52 F68 F76:F77 F91 F133 F153</xm:sqref>
        </x14:dataValidation>
        <x14:dataValidation type="list" allowBlank="1" showInputMessage="1" showErrorMessage="1" xr:uid="{0A0A188A-74C6-4ADE-9FBF-3C5C415228B7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F7:F9 F57:F59 F143:F145 F107 F95:F97 F41:F43 F138:F140 F116 F102:F104 F17:F18 F25:F26 F34:F35 F50:F51 F66:F67 F74:F75 F89:F90 F111:F113 F120:F122 F131:F132 F151:F152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375DC-824C-45F8-856C-D5AD7785424E}">
  <sheetPr codeName="Лист38">
    <pageSetUpPr fitToPage="1"/>
  </sheetPr>
  <dimension ref="A1:L187"/>
  <sheetViews>
    <sheetView view="pageBreakPreview" topLeftCell="A150" zoomScaleNormal="100" zoomScaleSheetLayoutView="100" workbookViewId="0">
      <selection activeCell="F7" sqref="F7"/>
    </sheetView>
  </sheetViews>
  <sheetFormatPr defaultRowHeight="15.75" x14ac:dyDescent="0.25"/>
  <cols>
    <col min="1" max="1" width="11.28515625" style="215" customWidth="1"/>
    <col min="2" max="2" width="11.28515625" style="252" customWidth="1"/>
    <col min="3" max="3" width="10.5703125" style="253" customWidth="1"/>
    <col min="4" max="4" width="10.28515625" style="253" customWidth="1"/>
    <col min="5" max="5" width="14" style="253" customWidth="1"/>
    <col min="6" max="6" width="57.85546875" style="253" customWidth="1"/>
    <col min="7" max="7" width="17.85546875" style="253" hidden="1" customWidth="1"/>
    <col min="8" max="9" width="15.5703125" style="253" customWidth="1"/>
    <col min="10" max="10" width="25.5703125" style="215" customWidth="1"/>
    <col min="11" max="1025" width="8.7109375" style="202" customWidth="1"/>
    <col min="1026" max="16384" width="9.140625" style="202"/>
  </cols>
  <sheetData>
    <row r="1" spans="1:12" s="234" customFormat="1" ht="29.25" customHeight="1" x14ac:dyDescent="0.25">
      <c r="A1" s="468" t="s">
        <v>0</v>
      </c>
      <c r="B1" s="468"/>
      <c r="C1" s="235"/>
      <c r="D1" s="235"/>
      <c r="E1" s="235"/>
      <c r="F1" s="231" t="s">
        <v>1</v>
      </c>
      <c r="G1" s="231"/>
      <c r="H1" s="439" t="s">
        <v>0</v>
      </c>
      <c r="I1" s="439"/>
    </row>
    <row r="2" spans="1:12" s="234" customFormat="1" ht="29.25" customHeight="1" x14ac:dyDescent="0.25">
      <c r="A2" s="235" t="s">
        <v>2</v>
      </c>
      <c r="B2" s="235"/>
      <c r="C2" s="259"/>
      <c r="D2" s="259"/>
      <c r="E2" s="259"/>
      <c r="F2" s="231" t="s">
        <v>686</v>
      </c>
      <c r="G2" s="231"/>
      <c r="H2" s="535" t="s">
        <v>687</v>
      </c>
      <c r="I2" s="535"/>
      <c r="J2" s="235"/>
    </row>
    <row r="3" spans="1:12" s="234" customFormat="1" ht="29.25" customHeight="1" x14ac:dyDescent="0.25">
      <c r="A3" s="437" t="s">
        <v>522</v>
      </c>
      <c r="B3" s="437"/>
      <c r="C3" s="437"/>
      <c r="D3" s="438"/>
      <c r="E3" s="438"/>
      <c r="F3" s="231" t="s">
        <v>748</v>
      </c>
      <c r="G3" s="231"/>
      <c r="H3" s="470" t="s">
        <v>688</v>
      </c>
      <c r="I3" s="470"/>
    </row>
    <row r="4" spans="1:12" ht="15" customHeight="1" x14ac:dyDescent="0.25">
      <c r="A4" s="472" t="s">
        <v>4</v>
      </c>
      <c r="B4" s="472"/>
      <c r="C4" s="472"/>
      <c r="D4" s="471" t="s">
        <v>5</v>
      </c>
      <c r="E4" s="471" t="s">
        <v>6</v>
      </c>
      <c r="F4" s="471" t="s">
        <v>7</v>
      </c>
      <c r="G4" s="473" t="s">
        <v>8</v>
      </c>
      <c r="H4" s="471" t="s">
        <v>9</v>
      </c>
      <c r="I4" s="471" t="s">
        <v>10</v>
      </c>
      <c r="J4" s="471" t="s">
        <v>11</v>
      </c>
    </row>
    <row r="5" spans="1:12" x14ac:dyDescent="0.25">
      <c r="A5" s="232" t="s">
        <v>12</v>
      </c>
      <c r="B5" s="232" t="s">
        <v>13</v>
      </c>
      <c r="C5" s="232" t="s">
        <v>14</v>
      </c>
      <c r="D5" s="471"/>
      <c r="E5" s="471"/>
      <c r="F5" s="471"/>
      <c r="G5" s="473"/>
      <c r="H5" s="471"/>
      <c r="I5" s="471"/>
      <c r="J5" s="471"/>
    </row>
    <row r="6" spans="1:12" ht="18" hidden="1" customHeight="1" x14ac:dyDescent="0.3">
      <c r="A6" s="462" t="s">
        <v>15</v>
      </c>
      <c r="B6" s="462"/>
      <c r="C6" s="462"/>
      <c r="D6" s="462"/>
      <c r="E6" s="462"/>
      <c r="F6" s="462"/>
      <c r="G6" s="462"/>
      <c r="H6" s="462"/>
      <c r="I6" s="462"/>
      <c r="J6" s="212"/>
    </row>
    <row r="7" spans="1:12" ht="18" hidden="1" customHeight="1" x14ac:dyDescent="0.3">
      <c r="A7" s="209">
        <f>IFERROR(VLOOKUP(F7,[1]Реестр!A:K,3,0)*H7/G7,"")</f>
        <v>3.84</v>
      </c>
      <c r="B7" s="209">
        <f>IFERROR(VLOOKUP(F7,[1]Реестр!A:K,4,0)*H7/G7,"")</f>
        <v>10.1</v>
      </c>
      <c r="C7" s="209">
        <f>IFERROR(VLOOKUP(F7,[1]Реестр!A:K,5,0)*H7/G7,"")</f>
        <v>9.77</v>
      </c>
      <c r="D7" s="209">
        <f>IFERROR(VLOOKUP(F7,[1]Реестр!A:K,6,0)*H7/G7,"")</f>
        <v>145.38300000000001</v>
      </c>
      <c r="E7" s="210" t="str">
        <f>IFERROR(VLOOKUP(F7,[1]Реестр!A:K,11,0),"")</f>
        <v>1*57</v>
      </c>
      <c r="F7" s="395" t="s">
        <v>106</v>
      </c>
      <c r="G7" s="211" t="str">
        <f>IFERROR(VLOOKUP(F7,[1]Реестр!A:K,2,0),"")</f>
        <v>40</v>
      </c>
      <c r="H7" s="210">
        <v>40</v>
      </c>
      <c r="I7" s="207">
        <v>49.55</v>
      </c>
      <c r="J7" s="201" t="str">
        <f>IFERROR(VLOOKUP(O7,Реестр!#REF!,3,0)*Q7/P7,"")</f>
        <v/>
      </c>
    </row>
    <row r="8" spans="1:12" ht="18" hidden="1" customHeight="1" x14ac:dyDescent="0.3">
      <c r="A8" s="209">
        <v>9.75</v>
      </c>
      <c r="B8" s="209">
        <v>12.14</v>
      </c>
      <c r="C8" s="209">
        <v>36.06</v>
      </c>
      <c r="D8" s="209">
        <v>291.64</v>
      </c>
      <c r="E8" s="349" t="str">
        <f>"2/57"</f>
        <v>2/57</v>
      </c>
      <c r="F8" s="349" t="s">
        <v>665</v>
      </c>
      <c r="G8" s="211" t="str">
        <f>IFERROR(VLOOKUP(F8,[1]Реестр!A:K,2,0),"")</f>
        <v/>
      </c>
      <c r="H8" s="210">
        <v>210</v>
      </c>
      <c r="I8" s="207">
        <v>51.38</v>
      </c>
      <c r="J8" s="201" t="str">
        <f>IFERROR(VLOOKUP(O8,Реестр!#REF!,3,0)*Q8/P8,"")</f>
        <v/>
      </c>
    </row>
    <row r="9" spans="1:12" ht="18" hidden="1" customHeight="1" x14ac:dyDescent="0.3">
      <c r="A9" s="209">
        <f>IFERROR(VLOOKUP(F9,[1]Реестр!A:K,3,0)*H9/G9,"")</f>
        <v>0.15</v>
      </c>
      <c r="B9" s="209">
        <f>IFERROR(VLOOKUP(F9,[1]Реестр!A:K,4,0)*H9/G9,"")</f>
        <v>0.09</v>
      </c>
      <c r="C9" s="209">
        <f>IFERROR(VLOOKUP(F9,[1]Реестр!A:K,5,0)*H9/G9,"")</f>
        <v>8.58</v>
      </c>
      <c r="D9" s="209">
        <f>IFERROR(VLOOKUP(F9,[1]Реестр!A:K,6,0)*H9/G9,"")</f>
        <v>34.799999999999997</v>
      </c>
      <c r="E9" s="210" t="str">
        <f>IFERROR(VLOOKUP(F9,[1]Реестр!A:K,11,0),"")</f>
        <v>12*2</v>
      </c>
      <c r="F9" s="398" t="s">
        <v>371</v>
      </c>
      <c r="G9" s="211" t="str">
        <f>IFERROR(VLOOKUP(F9,[1]Реестр!A:K,2,0),"")</f>
        <v>100</v>
      </c>
      <c r="H9" s="210">
        <v>30</v>
      </c>
      <c r="I9" s="207">
        <v>24.59</v>
      </c>
      <c r="J9" s="201" t="str">
        <f>IFERROR(VLOOKUP(O9,Реестр!#REF!,3,0)*Q9/P9,"")</f>
        <v/>
      </c>
    </row>
    <row r="10" spans="1:12" ht="18" hidden="1" customHeight="1" x14ac:dyDescent="0.3">
      <c r="A10" s="209">
        <f>IFERROR(VLOOKUP(F10,[1]Реестр!A:K,3,0)*H10/G10,"")</f>
        <v>1.4</v>
      </c>
      <c r="B10" s="209">
        <f>IFERROR(VLOOKUP(F10,[1]Реестр!A:K,4,0)*H10/G10,"")</f>
        <v>1.1000000000000001</v>
      </c>
      <c r="C10" s="209">
        <f>IFERROR(VLOOKUP(F10,[1]Реестр!A:K,5,0)*H10/G10,"")</f>
        <v>16.600000000000001</v>
      </c>
      <c r="D10" s="209">
        <f>IFERROR(VLOOKUP(F10,[1]Реестр!A:K,6,0)*H10/G10,"")</f>
        <v>79</v>
      </c>
      <c r="E10" s="349" t="str">
        <f>"11/59"</f>
        <v>11/59</v>
      </c>
      <c r="F10" s="349" t="s">
        <v>357</v>
      </c>
      <c r="G10" s="211" t="str">
        <f>IFERROR(VLOOKUP(F10,[1]Реестр!A:K,2,0),"")</f>
        <v>200</v>
      </c>
      <c r="H10" s="206">
        <v>200</v>
      </c>
      <c r="I10" s="207">
        <v>22.2</v>
      </c>
      <c r="J10" s="201" t="str">
        <f>IFERROR(VLOOKUP(O10,Реестр!#REF!,3,0)*Q10/P10,"")</f>
        <v/>
      </c>
    </row>
    <row r="11" spans="1:12" ht="18.75" hidden="1" x14ac:dyDescent="0.3">
      <c r="A11" s="209">
        <f>IFERROR(VLOOKUP(F11,[1]Реестр!A:K,3,0)*H11/G11,"")</f>
        <v>1.32</v>
      </c>
      <c r="B11" s="209">
        <f>IFERROR(VLOOKUP(F11,[1]Реестр!A:K,4,0)*H11/G11,"")</f>
        <v>0.24</v>
      </c>
      <c r="C11" s="209">
        <f>IFERROR(VLOOKUP(F11,[1]Реестр!A:K,5,0)*H11/G11,"")</f>
        <v>6.68</v>
      </c>
      <c r="D11" s="209">
        <f>IFERROR(VLOOKUP(F11,[1]Реестр!A:K,6,0)*H11/G11,"")</f>
        <v>38.6</v>
      </c>
      <c r="E11" s="210" t="str">
        <f>IFERROR(VLOOKUP(F11,[1]Реестр!A:K,11,0),"")</f>
        <v>-</v>
      </c>
      <c r="F11" s="217" t="s">
        <v>65</v>
      </c>
      <c r="G11" s="211" t="str">
        <f>IFERROR(VLOOKUP(F11,[1]Реестр!A:K,2,0),"")</f>
        <v>100</v>
      </c>
      <c r="H11" s="206">
        <v>20</v>
      </c>
      <c r="I11" s="207">
        <v>1.8</v>
      </c>
      <c r="J11" s="206"/>
      <c r="K11" s="208"/>
    </row>
    <row r="12" spans="1:12" ht="18" hidden="1" customHeight="1" x14ac:dyDescent="0.3">
      <c r="A12" s="464" t="s">
        <v>16</v>
      </c>
      <c r="B12" s="464"/>
      <c r="C12" s="464"/>
      <c r="D12" s="464"/>
      <c r="E12" s="464"/>
      <c r="F12" s="464"/>
      <c r="G12" s="205"/>
      <c r="H12" s="206"/>
      <c r="I12" s="207">
        <f>SUM(I7:I11)</f>
        <v>149.52000000000001</v>
      </c>
      <c r="J12" s="206">
        <v>85.2</v>
      </c>
      <c r="K12" s="208">
        <f>I12-J12</f>
        <v>64.320000000000007</v>
      </c>
      <c r="L12" s="208"/>
    </row>
    <row r="13" spans="1:12" ht="18" hidden="1" customHeight="1" x14ac:dyDescent="0.3">
      <c r="A13" s="462" t="s">
        <v>17</v>
      </c>
      <c r="B13" s="462"/>
      <c r="C13" s="462"/>
      <c r="D13" s="462"/>
      <c r="E13" s="462"/>
      <c r="F13" s="462"/>
      <c r="G13" s="462"/>
      <c r="H13" s="462"/>
      <c r="I13" s="462"/>
      <c r="J13" s="212"/>
    </row>
    <row r="14" spans="1:12" ht="30" hidden="1" x14ac:dyDescent="0.3">
      <c r="A14" s="367">
        <v>1.03</v>
      </c>
      <c r="B14" s="396">
        <v>4.7699999999999996</v>
      </c>
      <c r="C14" s="396">
        <v>6.38</v>
      </c>
      <c r="D14" s="396">
        <v>68.989999999999995</v>
      </c>
      <c r="E14" s="357" t="str">
        <f>"7/80"</f>
        <v>7/80</v>
      </c>
      <c r="F14" s="228" t="s">
        <v>678</v>
      </c>
      <c r="G14" s="211" t="str">
        <f>IFERROR(VLOOKUP(F14,[2]Реестр!A:K,2,0),"")</f>
        <v/>
      </c>
      <c r="H14" s="210">
        <v>80</v>
      </c>
      <c r="I14" s="230">
        <v>41.6</v>
      </c>
      <c r="J14" s="201" t="str">
        <f>IFERROR(VLOOKUP(O14,Реестр!#REF!,3,0)*Q14/P14,"")</f>
        <v/>
      </c>
    </row>
    <row r="15" spans="1:12" ht="18" hidden="1" customHeight="1" x14ac:dyDescent="0.3">
      <c r="A15" s="263">
        <v>5.55</v>
      </c>
      <c r="B15" s="263">
        <v>7.8</v>
      </c>
      <c r="C15" s="263">
        <v>15.95</v>
      </c>
      <c r="D15" s="263">
        <v>199.78905478333331</v>
      </c>
      <c r="E15" s="350" t="str">
        <f>"6/70"</f>
        <v>6/70</v>
      </c>
      <c r="F15" s="350" t="s">
        <v>220</v>
      </c>
      <c r="G15" s="211" t="str">
        <f>IFERROR(VLOOKUP(F15,[2]Реестр!A:K,2,0),"")</f>
        <v>300</v>
      </c>
      <c r="H15" s="206">
        <v>250</v>
      </c>
      <c r="I15" s="207">
        <v>50</v>
      </c>
      <c r="J15" s="201" t="str">
        <f>IFERROR(VLOOKUP(O15,Реестр!#REF!,3,0)*Q15/P15,"")</f>
        <v/>
      </c>
    </row>
    <row r="16" spans="1:12" ht="18" hidden="1" customHeight="1" x14ac:dyDescent="0.3">
      <c r="A16" s="263">
        <v>16.579999999999998</v>
      </c>
      <c r="B16" s="263">
        <v>19.5</v>
      </c>
      <c r="C16" s="263">
        <v>68.38</v>
      </c>
      <c r="D16" s="263">
        <v>327.07</v>
      </c>
      <c r="E16" s="349" t="str">
        <f>"8/35"</f>
        <v>8/35</v>
      </c>
      <c r="F16" s="349" t="s">
        <v>549</v>
      </c>
      <c r="G16" s="211" t="str">
        <f>IFERROR(VLOOKUP(F16,[2]Реестр!A:K,2,0),"")</f>
        <v/>
      </c>
      <c r="H16" s="206">
        <v>200</v>
      </c>
      <c r="I16" s="206">
        <v>112.67</v>
      </c>
      <c r="J16" s="201" t="str">
        <f>IFERROR(VLOOKUP(O16,Реестр!#REF!,3,0)*Q16/P16,"")</f>
        <v/>
      </c>
    </row>
    <row r="17" spans="1:12" ht="18" hidden="1" customHeight="1" x14ac:dyDescent="0.3">
      <c r="A17" s="263">
        <v>0.14000000000000001</v>
      </c>
      <c r="B17" s="263">
        <v>0.1</v>
      </c>
      <c r="C17" s="263">
        <v>1.5</v>
      </c>
      <c r="D17" s="263">
        <v>83.962620000000015</v>
      </c>
      <c r="E17" s="349" t="str">
        <f>"11/1"</f>
        <v>11/1</v>
      </c>
      <c r="F17" s="349" t="s">
        <v>317</v>
      </c>
      <c r="G17" s="211">
        <f>IFERROR(VLOOKUP(F17,[2]Реестр!A:K,2,0),"")</f>
        <v>200</v>
      </c>
      <c r="H17" s="206">
        <v>200</v>
      </c>
      <c r="I17" s="207">
        <v>12.8</v>
      </c>
      <c r="J17" s="201"/>
    </row>
    <row r="18" spans="1:12" ht="18" hidden="1" customHeight="1" x14ac:dyDescent="0.3">
      <c r="A18" s="209">
        <v>2.64</v>
      </c>
      <c r="B18" s="209">
        <v>0.24</v>
      </c>
      <c r="C18" s="209">
        <v>18.72</v>
      </c>
      <c r="D18" s="209">
        <v>89.6</v>
      </c>
      <c r="E18" s="210" t="s">
        <v>471</v>
      </c>
      <c r="F18" s="217" t="s">
        <v>66</v>
      </c>
      <c r="G18" s="211" t="str">
        <f>IFERROR(VLOOKUP(F18,[2]Реестр!A:K,2,0),"")</f>
        <v>100</v>
      </c>
      <c r="H18" s="206">
        <v>40</v>
      </c>
      <c r="I18" s="207">
        <v>3.6</v>
      </c>
      <c r="J18" s="201" t="str">
        <f>IFERROR(VLOOKUP(O18,Реестр!#REF!,3,0)*Q18/P18,"")</f>
        <v/>
      </c>
    </row>
    <row r="19" spans="1:12" ht="18" hidden="1" customHeight="1" x14ac:dyDescent="0.3">
      <c r="A19" s="209">
        <v>2.64</v>
      </c>
      <c r="B19" s="209">
        <v>0.48</v>
      </c>
      <c r="C19" s="209">
        <v>13.36</v>
      </c>
      <c r="D19" s="209">
        <v>77.2</v>
      </c>
      <c r="E19" s="210" t="s">
        <v>471</v>
      </c>
      <c r="F19" s="217" t="s">
        <v>65</v>
      </c>
      <c r="G19" s="211" t="str">
        <f>IFERROR(VLOOKUP(F19,[2]Реестр!A:K,2,0),"")</f>
        <v>100</v>
      </c>
      <c r="H19" s="206">
        <v>40</v>
      </c>
      <c r="I19" s="207">
        <v>3.6</v>
      </c>
      <c r="J19" s="201" t="str">
        <f>IFERROR(VLOOKUP(O19,Реестр!#REF!,3,0)*Q19/P19,"")</f>
        <v/>
      </c>
    </row>
    <row r="20" spans="1:12" ht="18" hidden="1" customHeight="1" x14ac:dyDescent="0.3">
      <c r="A20" s="196"/>
      <c r="B20" s="196"/>
      <c r="C20" s="196"/>
      <c r="D20" s="196"/>
      <c r="E20" s="214"/>
      <c r="F20" s="204"/>
      <c r="G20" s="199"/>
      <c r="H20" s="200"/>
      <c r="I20" s="203"/>
      <c r="J20" s="201"/>
    </row>
    <row r="21" spans="1:12" ht="18.75" hidden="1" x14ac:dyDescent="0.3">
      <c r="A21" s="464" t="s">
        <v>16</v>
      </c>
      <c r="B21" s="464"/>
      <c r="C21" s="464"/>
      <c r="D21" s="464"/>
      <c r="E21" s="464"/>
      <c r="F21" s="464"/>
      <c r="G21" s="205"/>
      <c r="H21" s="206"/>
      <c r="I21" s="207">
        <f>SUM(I14:I20)</f>
        <v>224.26999999999998</v>
      </c>
      <c r="J21" s="206">
        <v>127.79</v>
      </c>
      <c r="K21" s="208">
        <f>J21-I21</f>
        <v>-96.479999999999976</v>
      </c>
    </row>
    <row r="22" spans="1:12" ht="18.75" x14ac:dyDescent="0.3">
      <c r="A22" s="462" t="s">
        <v>500</v>
      </c>
      <c r="B22" s="462"/>
      <c r="C22" s="462"/>
      <c r="D22" s="462"/>
      <c r="E22" s="462"/>
      <c r="F22" s="462"/>
      <c r="G22" s="462"/>
      <c r="H22" s="462"/>
      <c r="I22" s="462"/>
      <c r="J22" s="212"/>
    </row>
    <row r="23" spans="1:12" ht="18.75" x14ac:dyDescent="0.25">
      <c r="A23" s="263">
        <v>0.48</v>
      </c>
      <c r="B23" s="263">
        <v>2.37</v>
      </c>
      <c r="C23" s="263">
        <v>3.09</v>
      </c>
      <c r="D23" s="263">
        <v>36.64</v>
      </c>
      <c r="E23" s="384" t="str">
        <f>"7/26"</f>
        <v>7/26</v>
      </c>
      <c r="F23" s="385" t="s">
        <v>717</v>
      </c>
      <c r="G23" s="211" t="str">
        <f>IFERROR(VLOOKUP(F23,[1]Реестр!A:K,2,0),"")</f>
        <v/>
      </c>
      <c r="H23" s="210">
        <v>30</v>
      </c>
      <c r="I23" s="230">
        <v>19.260000000000002</v>
      </c>
      <c r="J23" s="212"/>
    </row>
    <row r="24" spans="1:12" ht="18.75" x14ac:dyDescent="0.3">
      <c r="A24" s="348">
        <v>19.440000000000001</v>
      </c>
      <c r="B24" s="348">
        <v>19.420000000000002</v>
      </c>
      <c r="C24" s="348">
        <v>57.63</v>
      </c>
      <c r="D24" s="348">
        <v>436.2</v>
      </c>
      <c r="E24" s="242" t="s">
        <v>712</v>
      </c>
      <c r="F24" s="242" t="s">
        <v>713</v>
      </c>
      <c r="G24" s="211" t="str">
        <f>IFERROR(VLOOKUP(F24,[2]Реестр!A:K,2,0),"")</f>
        <v/>
      </c>
      <c r="H24" s="206">
        <v>250</v>
      </c>
      <c r="I24" s="206">
        <v>130.94</v>
      </c>
      <c r="J24" s="201" t="str">
        <f>IFERROR(VLOOKUP(O24,Реестр!#REF!,3,0)*Q24/P24,"")</f>
        <v/>
      </c>
    </row>
    <row r="25" spans="1:12" ht="18.75" x14ac:dyDescent="0.3">
      <c r="A25" s="263">
        <v>0.18</v>
      </c>
      <c r="B25" s="263">
        <v>0.05</v>
      </c>
      <c r="C25" s="263">
        <v>0.32</v>
      </c>
      <c r="D25" s="263">
        <v>37.582527999999996</v>
      </c>
      <c r="E25" s="242" t="s">
        <v>714</v>
      </c>
      <c r="F25" s="386" t="s">
        <v>328</v>
      </c>
      <c r="G25" s="211">
        <f>IFERROR(VLOOKUP(F25,[2]Реестр!A:K,2,0),"")</f>
        <v>200</v>
      </c>
      <c r="H25" s="206">
        <v>200</v>
      </c>
      <c r="I25" s="207">
        <v>19.54</v>
      </c>
      <c r="J25" s="201"/>
    </row>
    <row r="26" spans="1:12" ht="18.75" x14ac:dyDescent="0.3">
      <c r="A26" s="264">
        <v>3.3</v>
      </c>
      <c r="B26" s="264">
        <v>0.3</v>
      </c>
      <c r="C26" s="264">
        <v>23.4</v>
      </c>
      <c r="D26" s="264">
        <v>112</v>
      </c>
      <c r="E26" s="242" t="str">
        <f>"-"</f>
        <v>-</v>
      </c>
      <c r="F26" s="387" t="s">
        <v>715</v>
      </c>
      <c r="G26" s="211" t="str">
        <f>IFERROR(VLOOKUP(F26,[2]Реестр!A:K,2,0),"")</f>
        <v/>
      </c>
      <c r="H26" s="206">
        <v>50</v>
      </c>
      <c r="I26" s="207">
        <v>4.5</v>
      </c>
      <c r="J26" s="201" t="str">
        <f>IFERROR(VLOOKUP(O26,Реестр!#REF!,3,0)*Q26/P26,"")</f>
        <v/>
      </c>
    </row>
    <row r="27" spans="1:12" ht="18.75" x14ac:dyDescent="0.3">
      <c r="A27" s="264">
        <v>2</v>
      </c>
      <c r="B27" s="264">
        <v>0.4</v>
      </c>
      <c r="C27" s="264">
        <v>10</v>
      </c>
      <c r="D27" s="264">
        <v>58</v>
      </c>
      <c r="E27" s="381" t="str">
        <f>"-"</f>
        <v>-</v>
      </c>
      <c r="F27" s="381" t="s">
        <v>707</v>
      </c>
      <c r="G27" s="211" t="str">
        <f>IFERROR(VLOOKUP(F27,[2]Реестр!A:K,2,0),"")</f>
        <v/>
      </c>
      <c r="H27" s="206">
        <v>30</v>
      </c>
      <c r="I27" s="203">
        <v>2.7</v>
      </c>
      <c r="J27" s="201"/>
    </row>
    <row r="28" spans="1:12" ht="18.75" x14ac:dyDescent="0.3">
      <c r="A28" s="196"/>
      <c r="B28" s="196"/>
      <c r="C28" s="196"/>
      <c r="D28" s="196"/>
      <c r="E28" s="197"/>
      <c r="F28" s="217"/>
      <c r="G28" s="199"/>
      <c r="H28" s="206"/>
      <c r="I28" s="203"/>
      <c r="J28" s="201" t="str">
        <f>IFERROR(VLOOKUP(O28,Реестр!#REF!,3,0)*Q28/P28,"")</f>
        <v/>
      </c>
    </row>
    <row r="29" spans="1:12" ht="18.75" x14ac:dyDescent="0.3">
      <c r="A29" s="453" t="s">
        <v>16</v>
      </c>
      <c r="B29" s="454"/>
      <c r="C29" s="454"/>
      <c r="D29" s="454"/>
      <c r="E29" s="454"/>
      <c r="F29" s="455"/>
      <c r="G29" s="205"/>
      <c r="H29" s="206"/>
      <c r="I29" s="207">
        <f>SUM(I23:I28)</f>
        <v>176.93999999999997</v>
      </c>
      <c r="J29" s="206">
        <v>98.52</v>
      </c>
      <c r="K29" s="208">
        <f>I29-J29</f>
        <v>78.419999999999973</v>
      </c>
      <c r="L29" s="208"/>
    </row>
    <row r="30" spans="1:12" ht="18.75" x14ac:dyDescent="0.3">
      <c r="A30" s="462" t="s">
        <v>501</v>
      </c>
      <c r="B30" s="462"/>
      <c r="C30" s="462"/>
      <c r="D30" s="462"/>
      <c r="E30" s="462"/>
      <c r="F30" s="462"/>
      <c r="G30" s="462"/>
      <c r="H30" s="462"/>
      <c r="I30" s="462"/>
      <c r="J30" s="201"/>
    </row>
    <row r="31" spans="1:12" ht="30" x14ac:dyDescent="0.3">
      <c r="A31" s="383">
        <v>2.2999999999999998</v>
      </c>
      <c r="B31" s="383">
        <v>6.01</v>
      </c>
      <c r="C31" s="383">
        <v>4.01</v>
      </c>
      <c r="D31" s="383">
        <v>72.147796</v>
      </c>
      <c r="E31" s="242" t="s">
        <v>709</v>
      </c>
      <c r="F31" s="242" t="s">
        <v>710</v>
      </c>
      <c r="G31" s="211" t="str">
        <f>IFERROR(VLOOKUP(F31,[2]Реестр!A:K,2,0),"")</f>
        <v/>
      </c>
      <c r="H31" s="210">
        <v>100</v>
      </c>
      <c r="I31" s="230">
        <v>56.17</v>
      </c>
      <c r="J31" s="201"/>
    </row>
    <row r="32" spans="1:12" ht="18.75" x14ac:dyDescent="0.3">
      <c r="A32" s="263">
        <v>4.1100000000000003</v>
      </c>
      <c r="B32" s="263">
        <v>4.7699999999999996</v>
      </c>
      <c r="C32" s="263">
        <v>26.5</v>
      </c>
      <c r="D32" s="263">
        <v>213.5</v>
      </c>
      <c r="E32" s="242" t="s">
        <v>711</v>
      </c>
      <c r="F32" s="242" t="s">
        <v>716</v>
      </c>
      <c r="G32" s="211" t="str">
        <f>IFERROR(VLOOKUP(F32,[2]Реестр!A:K,2,0),"")</f>
        <v/>
      </c>
      <c r="H32" s="206">
        <v>250</v>
      </c>
      <c r="I32" s="207">
        <v>50</v>
      </c>
      <c r="J32" s="206"/>
      <c r="K32" s="208">
        <f>I38-J32</f>
        <v>265.40000000000003</v>
      </c>
    </row>
    <row r="33" spans="1:12" ht="18.75" x14ac:dyDescent="0.3">
      <c r="A33" s="348">
        <v>17.5</v>
      </c>
      <c r="B33" s="348">
        <v>15.6</v>
      </c>
      <c r="C33" s="348">
        <v>42.3</v>
      </c>
      <c r="D33" s="348">
        <v>265.7</v>
      </c>
      <c r="E33" s="242" t="s">
        <v>712</v>
      </c>
      <c r="F33" s="242" t="s">
        <v>713</v>
      </c>
      <c r="G33" s="211" t="str">
        <f>IFERROR(VLOOKUP(F33,[2]Реестр!A:K,2,0),"")</f>
        <v/>
      </c>
      <c r="H33" s="206">
        <v>250</v>
      </c>
      <c r="I33" s="206">
        <v>130.94</v>
      </c>
      <c r="J33" s="212"/>
    </row>
    <row r="34" spans="1:12" ht="18.75" x14ac:dyDescent="0.3">
      <c r="A34" s="263">
        <v>3.94</v>
      </c>
      <c r="B34" s="263">
        <v>5.1100000000000003</v>
      </c>
      <c r="C34" s="263">
        <v>27.5</v>
      </c>
      <c r="D34" s="263">
        <v>170.19544859999999</v>
      </c>
      <c r="E34" s="242" t="s">
        <v>714</v>
      </c>
      <c r="F34" s="386" t="s">
        <v>328</v>
      </c>
      <c r="G34" s="211">
        <f>IFERROR(VLOOKUP(F34,[2]Реестр!A:K,2,0),"")</f>
        <v>200</v>
      </c>
      <c r="H34" s="206">
        <v>200</v>
      </c>
      <c r="I34" s="207">
        <v>19.54</v>
      </c>
      <c r="J34" s="212"/>
    </row>
    <row r="35" spans="1:12" ht="18.75" x14ac:dyDescent="0.3">
      <c r="A35" s="264">
        <v>0.14000000000000001</v>
      </c>
      <c r="B35" s="264">
        <v>0.1</v>
      </c>
      <c r="C35" s="264">
        <v>1.5</v>
      </c>
      <c r="D35" s="264">
        <v>83.962620000000015</v>
      </c>
      <c r="E35" s="242" t="s">
        <v>471</v>
      </c>
      <c r="F35" s="242" t="s">
        <v>715</v>
      </c>
      <c r="G35" s="211" t="str">
        <f>IFERROR(VLOOKUP(F35,[2]Реестр!A:K,2,0),"")</f>
        <v/>
      </c>
      <c r="H35" s="206">
        <v>50</v>
      </c>
      <c r="I35" s="207">
        <v>4.5</v>
      </c>
      <c r="J35" s="212"/>
    </row>
    <row r="36" spans="1:12" ht="18.75" x14ac:dyDescent="0.3">
      <c r="A36" s="264">
        <v>3.3</v>
      </c>
      <c r="B36" s="264">
        <v>0.3</v>
      </c>
      <c r="C36" s="264">
        <v>23.4</v>
      </c>
      <c r="D36" s="264">
        <v>112</v>
      </c>
      <c r="E36" s="381" t="s">
        <v>471</v>
      </c>
      <c r="F36" s="381" t="s">
        <v>707</v>
      </c>
      <c r="G36" s="211" t="str">
        <f>IFERROR(VLOOKUP(F36,[2]Реестр!A:K,2,0),"")</f>
        <v/>
      </c>
      <c r="H36" s="206">
        <v>50</v>
      </c>
      <c r="I36" s="203">
        <v>4.25</v>
      </c>
      <c r="J36" s="394"/>
    </row>
    <row r="37" spans="1:12" ht="18.75" x14ac:dyDescent="0.3">
      <c r="A37" s="209"/>
      <c r="B37" s="209"/>
      <c r="C37" s="209"/>
      <c r="D37" s="209"/>
      <c r="E37" s="218"/>
      <c r="F37" s="217"/>
      <c r="G37" s="211"/>
      <c r="H37" s="206"/>
      <c r="I37" s="207"/>
      <c r="J37" s="394"/>
    </row>
    <row r="38" spans="1:12" ht="18.75" x14ac:dyDescent="0.3">
      <c r="A38" s="453" t="s">
        <v>16</v>
      </c>
      <c r="B38" s="454"/>
      <c r="C38" s="454"/>
      <c r="D38" s="454"/>
      <c r="E38" s="454"/>
      <c r="F38" s="455"/>
      <c r="G38" s="205"/>
      <c r="H38" s="206"/>
      <c r="I38" s="207">
        <f>SUM(I31:I37)</f>
        <v>265.40000000000003</v>
      </c>
      <c r="J38" s="206">
        <v>147.79</v>
      </c>
      <c r="K38" s="208">
        <f>I38-J38</f>
        <v>117.61000000000004</v>
      </c>
    </row>
    <row r="39" spans="1:12" ht="18.75" hidden="1" x14ac:dyDescent="0.3">
      <c r="A39" s="462" t="s">
        <v>18</v>
      </c>
      <c r="B39" s="462"/>
      <c r="C39" s="462"/>
      <c r="D39" s="462"/>
      <c r="E39" s="462"/>
      <c r="F39" s="462"/>
      <c r="G39" s="462"/>
      <c r="H39" s="462"/>
      <c r="I39" s="462"/>
      <c r="J39" s="394"/>
    </row>
    <row r="40" spans="1:12" ht="18.75" hidden="1" x14ac:dyDescent="0.3">
      <c r="A40" s="462" t="s">
        <v>19</v>
      </c>
      <c r="B40" s="462"/>
      <c r="C40" s="462"/>
      <c r="D40" s="462"/>
      <c r="E40" s="462"/>
      <c r="F40" s="462"/>
      <c r="G40" s="462"/>
      <c r="H40" s="462"/>
      <c r="I40" s="462"/>
      <c r="J40" s="394"/>
    </row>
    <row r="41" spans="1:12" ht="18.75" hidden="1" x14ac:dyDescent="0.3">
      <c r="A41" s="209">
        <f>IFERROR(VLOOKUP(F41,[1]Реестр!A:K,3,0)*H41/G41,"")</f>
        <v>3.84</v>
      </c>
      <c r="B41" s="209">
        <f>IFERROR(VLOOKUP(F41,[1]Реестр!A:K,4,0)*H41/G41,"")</f>
        <v>10.1</v>
      </c>
      <c r="C41" s="209">
        <f>IFERROR(VLOOKUP(F41,[1]Реестр!A:K,5,0)*H41/G41,"")</f>
        <v>9.77</v>
      </c>
      <c r="D41" s="209">
        <f>IFERROR(VLOOKUP(F41,[1]Реестр!A:K,6,0)*H41/G41,"")</f>
        <v>145.38300000000001</v>
      </c>
      <c r="E41" s="210" t="str">
        <f>IFERROR(VLOOKUP(F41,[1]Реестр!A:K,11,0),"")</f>
        <v>1*57</v>
      </c>
      <c r="F41" s="395" t="s">
        <v>106</v>
      </c>
      <c r="G41" s="211" t="str">
        <f>IFERROR(VLOOKUP(F41,[1]Реестр!A:K,2,0),"")</f>
        <v>40</v>
      </c>
      <c r="H41" s="210">
        <v>40</v>
      </c>
      <c r="I41" s="207">
        <v>49.55</v>
      </c>
      <c r="J41" s="394" t="s">
        <v>20</v>
      </c>
    </row>
    <row r="42" spans="1:12" ht="18.75" hidden="1" x14ac:dyDescent="0.3">
      <c r="A42" s="209">
        <v>9.75</v>
      </c>
      <c r="B42" s="209">
        <v>12.14</v>
      </c>
      <c r="C42" s="209">
        <v>36.06</v>
      </c>
      <c r="D42" s="209">
        <v>291.64</v>
      </c>
      <c r="E42" s="349" t="str">
        <f>"2/57"</f>
        <v>2/57</v>
      </c>
      <c r="F42" s="349" t="s">
        <v>665</v>
      </c>
      <c r="G42" s="211" t="str">
        <f>IFERROR(VLOOKUP(F42,[1]Реестр!A:K,2,0),"")</f>
        <v/>
      </c>
      <c r="H42" s="210">
        <v>210</v>
      </c>
      <c r="I42" s="207">
        <v>51.38</v>
      </c>
      <c r="J42" s="394" t="s">
        <v>537</v>
      </c>
      <c r="K42" s="237"/>
      <c r="L42" s="237"/>
    </row>
    <row r="43" spans="1:12" ht="18.75" hidden="1" x14ac:dyDescent="0.3">
      <c r="A43" s="209">
        <f>IFERROR(VLOOKUP(F43,[1]Реестр!A:K,3,0)*H43/G43,"")</f>
        <v>0.15</v>
      </c>
      <c r="B43" s="209">
        <f>IFERROR(VLOOKUP(F43,[1]Реестр!A:K,4,0)*H43/G43,"")</f>
        <v>0.09</v>
      </c>
      <c r="C43" s="209">
        <f>IFERROR(VLOOKUP(F43,[1]Реестр!A:K,5,0)*H43/G43,"")</f>
        <v>8.58</v>
      </c>
      <c r="D43" s="209">
        <f>IFERROR(VLOOKUP(F43,[1]Реестр!A:K,6,0)*H43/G43,"")</f>
        <v>34.799999999999997</v>
      </c>
      <c r="E43" s="210" t="str">
        <f>IFERROR(VLOOKUP(F43,[1]Реестр!A:K,11,0),"")</f>
        <v>12*2</v>
      </c>
      <c r="F43" s="398" t="s">
        <v>371</v>
      </c>
      <c r="G43" s="211" t="str">
        <f>IFERROR(VLOOKUP(F43,[1]Реестр!A:K,2,0),"")</f>
        <v>100</v>
      </c>
      <c r="H43" s="210">
        <v>30</v>
      </c>
      <c r="I43" s="207">
        <v>24.59</v>
      </c>
      <c r="J43" s="394" t="s">
        <v>477</v>
      </c>
      <c r="K43" s="237"/>
      <c r="L43" s="237"/>
    </row>
    <row r="44" spans="1:12" ht="18.75" hidden="1" x14ac:dyDescent="0.3">
      <c r="A44" s="209">
        <f>IFERROR(VLOOKUP(F44,[1]Реестр!A:K,3,0)*H44/G44,"")</f>
        <v>1.4</v>
      </c>
      <c r="B44" s="209">
        <f>IFERROR(VLOOKUP(F44,[1]Реестр!A:K,4,0)*H44/G44,"")</f>
        <v>1.1000000000000001</v>
      </c>
      <c r="C44" s="209">
        <f>IFERROR(VLOOKUP(F44,[1]Реестр!A:K,5,0)*H44/G44,"")</f>
        <v>16.600000000000001</v>
      </c>
      <c r="D44" s="209">
        <f>IFERROR(VLOOKUP(F44,[1]Реестр!A:K,6,0)*H44/G44,"")</f>
        <v>79</v>
      </c>
      <c r="E44" s="349" t="str">
        <f>"11/59"</f>
        <v>11/59</v>
      </c>
      <c r="F44" s="349" t="s">
        <v>357</v>
      </c>
      <c r="G44" s="211" t="str">
        <f>IFERROR(VLOOKUP(F44,[1]Реестр!A:K,2,0),"")</f>
        <v>200</v>
      </c>
      <c r="H44" s="206">
        <v>200</v>
      </c>
      <c r="I44" s="207">
        <v>22.2</v>
      </c>
      <c r="J44" s="394" t="s">
        <v>479</v>
      </c>
      <c r="K44" s="237"/>
      <c r="L44" s="237"/>
    </row>
    <row r="45" spans="1:12" ht="18.75" hidden="1" x14ac:dyDescent="0.3">
      <c r="A45" s="209">
        <f>IFERROR(VLOOKUP(F45,[1]Реестр!A:K,3,0)*H45/G45,"")</f>
        <v>1.32</v>
      </c>
      <c r="B45" s="209">
        <f>IFERROR(VLOOKUP(F45,[1]Реестр!A:K,4,0)*H45/G45,"")</f>
        <v>0.24</v>
      </c>
      <c r="C45" s="209">
        <f>IFERROR(VLOOKUP(F45,[1]Реестр!A:K,5,0)*H45/G45,"")</f>
        <v>6.68</v>
      </c>
      <c r="D45" s="209">
        <f>IFERROR(VLOOKUP(F45,[1]Реестр!A:K,6,0)*H45/G45,"")</f>
        <v>38.6</v>
      </c>
      <c r="E45" s="210" t="str">
        <f>IFERROR(VLOOKUP(F45,[1]Реестр!A:K,11,0),"")</f>
        <v>-</v>
      </c>
      <c r="F45" s="217" t="s">
        <v>65</v>
      </c>
      <c r="G45" s="211" t="str">
        <f>IFERROR(VLOOKUP(F45,[1]Реестр!A:K,2,0),"")</f>
        <v>100</v>
      </c>
      <c r="H45" s="206">
        <v>20</v>
      </c>
      <c r="I45" s="207">
        <v>1.8</v>
      </c>
      <c r="J45" s="394" t="s">
        <v>475</v>
      </c>
      <c r="K45" s="238"/>
      <c r="L45" s="237"/>
    </row>
    <row r="46" spans="1:12" ht="18.75" hidden="1" x14ac:dyDescent="0.3">
      <c r="A46" s="465" t="s">
        <v>25</v>
      </c>
      <c r="B46" s="466"/>
      <c r="C46" s="466"/>
      <c r="D46" s="466"/>
      <c r="E46" s="466"/>
      <c r="F46" s="466"/>
      <c r="G46" s="466"/>
      <c r="H46" s="466"/>
      <c r="I46" s="467"/>
      <c r="J46" s="394"/>
    </row>
    <row r="47" spans="1:12" s="234" customFormat="1" ht="30" hidden="1" x14ac:dyDescent="0.25">
      <c r="A47" s="367">
        <v>1.03</v>
      </c>
      <c r="B47" s="396">
        <v>4.7699999999999996</v>
      </c>
      <c r="C47" s="396">
        <v>6.38</v>
      </c>
      <c r="D47" s="396">
        <v>68.989999999999995</v>
      </c>
      <c r="E47" s="357" t="str">
        <f>"7/80"</f>
        <v>7/80</v>
      </c>
      <c r="F47" s="228" t="s">
        <v>678</v>
      </c>
      <c r="G47" s="211" t="str">
        <f>IFERROR(VLOOKUP(F47,[2]Реестр!A:K,2,0),"")</f>
        <v/>
      </c>
      <c r="H47" s="210">
        <v>80</v>
      </c>
      <c r="I47" s="230">
        <v>41.6</v>
      </c>
      <c r="J47" s="239" t="s">
        <v>538</v>
      </c>
    </row>
    <row r="48" spans="1:12" ht="18.75" hidden="1" x14ac:dyDescent="0.3">
      <c r="A48" s="263">
        <v>5.55</v>
      </c>
      <c r="B48" s="263">
        <v>7.8</v>
      </c>
      <c r="C48" s="263">
        <v>15.95</v>
      </c>
      <c r="D48" s="263">
        <v>199.78905478333331</v>
      </c>
      <c r="E48" s="350" t="str">
        <f>"6/70"</f>
        <v>6/70</v>
      </c>
      <c r="F48" s="350" t="s">
        <v>220</v>
      </c>
      <c r="G48" s="211" t="str">
        <f>IFERROR(VLOOKUP(F48,[2]Реестр!A:K,2,0),"")</f>
        <v>300</v>
      </c>
      <c r="H48" s="206">
        <v>250</v>
      </c>
      <c r="I48" s="207">
        <v>50</v>
      </c>
      <c r="J48" s="394" t="s">
        <v>478</v>
      </c>
    </row>
    <row r="49" spans="1:11" ht="18.75" hidden="1" x14ac:dyDescent="0.3">
      <c r="A49" s="263">
        <v>16.579999999999998</v>
      </c>
      <c r="B49" s="263">
        <v>19.5</v>
      </c>
      <c r="C49" s="263">
        <v>68.38</v>
      </c>
      <c r="D49" s="263">
        <v>327.07</v>
      </c>
      <c r="E49" s="349" t="str">
        <f>"8/35"</f>
        <v>8/35</v>
      </c>
      <c r="F49" s="349" t="s">
        <v>549</v>
      </c>
      <c r="G49" s="211" t="str">
        <f>IFERROR(VLOOKUP(F49,[2]Реестр!A:K,2,0),"")</f>
        <v/>
      </c>
      <c r="H49" s="206">
        <v>200</v>
      </c>
      <c r="I49" s="206">
        <v>112.67</v>
      </c>
      <c r="J49" s="394" t="s">
        <v>537</v>
      </c>
    </row>
    <row r="50" spans="1:11" ht="18.75" hidden="1" x14ac:dyDescent="0.3">
      <c r="A50" s="263">
        <v>0.14000000000000001</v>
      </c>
      <c r="B50" s="263">
        <v>0.1</v>
      </c>
      <c r="C50" s="263">
        <v>1.5</v>
      </c>
      <c r="D50" s="263">
        <v>83.962620000000015</v>
      </c>
      <c r="E50" s="349" t="str">
        <f>"11/1"</f>
        <v>11/1</v>
      </c>
      <c r="F50" s="349" t="s">
        <v>317</v>
      </c>
      <c r="G50" s="211">
        <f>IFERROR(VLOOKUP(F50,[2]Реестр!A:K,2,0),"")</f>
        <v>200</v>
      </c>
      <c r="H50" s="206">
        <v>200</v>
      </c>
      <c r="I50" s="207">
        <v>12.8</v>
      </c>
      <c r="J50" s="394" t="s">
        <v>29</v>
      </c>
    </row>
    <row r="51" spans="1:11" ht="18.75" hidden="1" x14ac:dyDescent="0.3">
      <c r="A51" s="209">
        <v>2.64</v>
      </c>
      <c r="B51" s="209">
        <v>0.24</v>
      </c>
      <c r="C51" s="209">
        <v>18.72</v>
      </c>
      <c r="D51" s="209">
        <v>89.6</v>
      </c>
      <c r="E51" s="210" t="s">
        <v>471</v>
      </c>
      <c r="F51" s="217" t="s">
        <v>66</v>
      </c>
      <c r="G51" s="211" t="str">
        <f>IFERROR(VLOOKUP(F51,[2]Реестр!A:K,2,0),"")</f>
        <v>100</v>
      </c>
      <c r="H51" s="206">
        <v>40</v>
      </c>
      <c r="I51" s="207">
        <v>3.6</v>
      </c>
      <c r="J51" s="394" t="s">
        <v>479</v>
      </c>
    </row>
    <row r="52" spans="1:11" ht="18.75" hidden="1" x14ac:dyDescent="0.3">
      <c r="A52" s="209">
        <v>2.64</v>
      </c>
      <c r="B52" s="209">
        <v>0.48</v>
      </c>
      <c r="C52" s="209">
        <v>13.36</v>
      </c>
      <c r="D52" s="209">
        <v>77.2</v>
      </c>
      <c r="E52" s="210" t="s">
        <v>471</v>
      </c>
      <c r="F52" s="217" t="s">
        <v>65</v>
      </c>
      <c r="G52" s="211" t="str">
        <f>IFERROR(VLOOKUP(F52,[2]Реестр!A:K,2,0),"")</f>
        <v>100</v>
      </c>
      <c r="H52" s="206">
        <v>40</v>
      </c>
      <c r="I52" s="207">
        <v>3.6</v>
      </c>
      <c r="J52" s="394" t="s">
        <v>539</v>
      </c>
    </row>
    <row r="53" spans="1:11" ht="18.75" hidden="1" x14ac:dyDescent="0.3">
      <c r="A53" s="196"/>
      <c r="B53" s="196"/>
      <c r="C53" s="196"/>
      <c r="D53" s="196"/>
      <c r="E53" s="214"/>
      <c r="F53" s="204"/>
      <c r="G53" s="199"/>
      <c r="H53" s="200"/>
      <c r="I53" s="203"/>
      <c r="J53" s="394" t="s">
        <v>540</v>
      </c>
    </row>
    <row r="54" spans="1:11" ht="18.75" hidden="1" x14ac:dyDescent="0.3">
      <c r="A54" s="464" t="s">
        <v>16</v>
      </c>
      <c r="B54" s="464"/>
      <c r="C54" s="464"/>
      <c r="D54" s="464"/>
      <c r="E54" s="464"/>
      <c r="F54" s="464"/>
      <c r="G54" s="206"/>
      <c r="H54" s="206"/>
      <c r="I54" s="207">
        <f>SUM(I41:I45,I47:I53)</f>
        <v>373.79000000000008</v>
      </c>
      <c r="J54" s="206">
        <v>212.99</v>
      </c>
      <c r="K54" s="208">
        <f>I54-J54</f>
        <v>160.80000000000007</v>
      </c>
    </row>
    <row r="55" spans="1:11" ht="18.75" x14ac:dyDescent="0.3">
      <c r="A55" s="465" t="s">
        <v>33</v>
      </c>
      <c r="B55" s="466"/>
      <c r="C55" s="466"/>
      <c r="D55" s="466"/>
      <c r="E55" s="466"/>
      <c r="F55" s="466"/>
      <c r="G55" s="466"/>
      <c r="H55" s="466"/>
      <c r="I55" s="467"/>
      <c r="J55" s="394"/>
    </row>
    <row r="56" spans="1:11" ht="18.75" x14ac:dyDescent="0.3">
      <c r="A56" s="465" t="s">
        <v>19</v>
      </c>
      <c r="B56" s="466"/>
      <c r="C56" s="466"/>
      <c r="D56" s="466"/>
      <c r="E56" s="466"/>
      <c r="F56" s="466"/>
      <c r="G56" s="466"/>
      <c r="H56" s="466"/>
      <c r="I56" s="467"/>
      <c r="J56" s="394"/>
    </row>
    <row r="57" spans="1:11" ht="18.75" x14ac:dyDescent="0.3">
      <c r="A57" s="243">
        <v>3.76</v>
      </c>
      <c r="B57" s="243">
        <v>3.05</v>
      </c>
      <c r="C57" s="243">
        <v>15.15</v>
      </c>
      <c r="D57" s="243">
        <v>112.3</v>
      </c>
      <c r="E57" s="242" t="str">
        <f>"1/50"</f>
        <v>1/50</v>
      </c>
      <c r="F57" s="242" t="s">
        <v>718</v>
      </c>
      <c r="G57" s="211" t="str">
        <f>IFERROR(VLOOKUP(F57,[1]Реестр!A:K,2,0),"")</f>
        <v/>
      </c>
      <c r="H57" s="210">
        <v>30</v>
      </c>
      <c r="I57" s="207">
        <v>38.369999999999997</v>
      </c>
      <c r="J57" s="394" t="s">
        <v>20</v>
      </c>
    </row>
    <row r="58" spans="1:11" ht="18.75" x14ac:dyDescent="0.3">
      <c r="A58" s="243">
        <v>16.39</v>
      </c>
      <c r="B58" s="243">
        <v>19.7</v>
      </c>
      <c r="C58" s="243">
        <v>41.3</v>
      </c>
      <c r="D58" s="243">
        <v>392.3</v>
      </c>
      <c r="E58" s="242" t="str">
        <f>"4/56"</f>
        <v>4/56</v>
      </c>
      <c r="F58" s="242" t="s">
        <v>705</v>
      </c>
      <c r="G58" s="211"/>
      <c r="H58" s="210">
        <v>200</v>
      </c>
      <c r="I58" s="207">
        <v>101.94</v>
      </c>
      <c r="J58" s="394" t="s">
        <v>537</v>
      </c>
    </row>
    <row r="59" spans="1:11" ht="18.75" x14ac:dyDescent="0.3">
      <c r="A59" s="243">
        <v>0.18</v>
      </c>
      <c r="B59" s="243">
        <v>0.04</v>
      </c>
      <c r="C59" s="243">
        <v>13.75</v>
      </c>
      <c r="D59" s="243">
        <v>53.136642799999997</v>
      </c>
      <c r="E59" s="242" t="str">
        <f>"11/56"</f>
        <v>11/56</v>
      </c>
      <c r="F59" s="242" t="s">
        <v>499</v>
      </c>
      <c r="G59" s="211"/>
      <c r="H59" s="210">
        <v>200</v>
      </c>
      <c r="I59" s="207">
        <v>8.15</v>
      </c>
      <c r="J59" s="394" t="s">
        <v>477</v>
      </c>
    </row>
    <row r="60" spans="1:11" ht="18.75" x14ac:dyDescent="0.3">
      <c r="A60" s="264">
        <v>2</v>
      </c>
      <c r="B60" s="264">
        <v>0.4</v>
      </c>
      <c r="C60" s="264">
        <v>10</v>
      </c>
      <c r="D60" s="264">
        <v>58</v>
      </c>
      <c r="E60" s="381" t="str">
        <f>"-"</f>
        <v>-</v>
      </c>
      <c r="F60" s="381" t="s">
        <v>707</v>
      </c>
      <c r="G60" s="211"/>
      <c r="H60" s="206">
        <v>30</v>
      </c>
      <c r="I60" s="207">
        <v>2.7</v>
      </c>
      <c r="J60" s="394" t="s">
        <v>541</v>
      </c>
      <c r="K60" s="237"/>
    </row>
    <row r="61" spans="1:11" ht="18.75" x14ac:dyDescent="0.3">
      <c r="A61" s="264">
        <v>0.52</v>
      </c>
      <c r="B61" s="264">
        <v>0.52</v>
      </c>
      <c r="C61" s="264">
        <v>15.08</v>
      </c>
      <c r="D61" s="264">
        <v>63.283999999999985</v>
      </c>
      <c r="E61" s="381" t="str">
        <f>"-"</f>
        <v>-</v>
      </c>
      <c r="F61" s="381" t="s">
        <v>708</v>
      </c>
      <c r="G61" s="211"/>
      <c r="H61" s="206">
        <v>130</v>
      </c>
      <c r="I61" s="207">
        <v>25.78</v>
      </c>
      <c r="J61" s="394" t="s">
        <v>475</v>
      </c>
      <c r="K61" s="237"/>
    </row>
    <row r="62" spans="1:11" ht="18.75" x14ac:dyDescent="0.3">
      <c r="A62" s="465" t="s">
        <v>25</v>
      </c>
      <c r="B62" s="466"/>
      <c r="C62" s="466"/>
      <c r="D62" s="466"/>
      <c r="E62" s="466"/>
      <c r="F62" s="466"/>
      <c r="G62" s="466"/>
      <c r="H62" s="466"/>
      <c r="I62" s="467"/>
      <c r="J62" s="201" t="str">
        <f>IFERROR(VLOOKUP(O62,Реестр!#REF!,3,0)*Q62/P62,"")</f>
        <v/>
      </c>
      <c r="K62" s="237"/>
    </row>
    <row r="63" spans="1:11" s="234" customFormat="1" ht="30" x14ac:dyDescent="0.25">
      <c r="A63" s="383">
        <v>2.2999999999999998</v>
      </c>
      <c r="B63" s="383">
        <v>6.01</v>
      </c>
      <c r="C63" s="383">
        <v>4.01</v>
      </c>
      <c r="D63" s="383">
        <v>72.147796</v>
      </c>
      <c r="E63" s="242" t="s">
        <v>709</v>
      </c>
      <c r="F63" s="242" t="s">
        <v>710</v>
      </c>
      <c r="G63" s="211" t="str">
        <f>IFERROR(VLOOKUP(F63,[2]Реестр!A:K,2,0),"")</f>
        <v/>
      </c>
      <c r="H63" s="210">
        <v>100</v>
      </c>
      <c r="I63" s="230">
        <v>56.17</v>
      </c>
      <c r="J63" s="239" t="s">
        <v>538</v>
      </c>
      <c r="K63" s="240"/>
    </row>
    <row r="64" spans="1:11" ht="18.75" x14ac:dyDescent="0.3">
      <c r="A64" s="263">
        <v>4.1100000000000003</v>
      </c>
      <c r="B64" s="263">
        <v>4.7699999999999996</v>
      </c>
      <c r="C64" s="263">
        <v>26.5</v>
      </c>
      <c r="D64" s="263">
        <v>213.5</v>
      </c>
      <c r="E64" s="242" t="s">
        <v>711</v>
      </c>
      <c r="F64" s="242" t="s">
        <v>716</v>
      </c>
      <c r="G64" s="211" t="str">
        <f>IFERROR(VLOOKUP(F64,[2]Реестр!A:K,2,0),"")</f>
        <v/>
      </c>
      <c r="H64" s="206">
        <v>250</v>
      </c>
      <c r="I64" s="207">
        <v>50</v>
      </c>
      <c r="J64" s="394" t="s">
        <v>478</v>
      </c>
      <c r="K64" s="237"/>
    </row>
    <row r="65" spans="1:12" ht="18.75" x14ac:dyDescent="0.3">
      <c r="A65" s="348">
        <v>17.5</v>
      </c>
      <c r="B65" s="348">
        <v>15.6</v>
      </c>
      <c r="C65" s="348">
        <v>42.3</v>
      </c>
      <c r="D65" s="348">
        <v>265.7</v>
      </c>
      <c r="E65" s="242" t="s">
        <v>712</v>
      </c>
      <c r="F65" s="242" t="s">
        <v>713</v>
      </c>
      <c r="G65" s="211" t="str">
        <f>IFERROR(VLOOKUP(F65,[2]Реестр!A:K,2,0),"")</f>
        <v/>
      </c>
      <c r="H65" s="206">
        <v>250</v>
      </c>
      <c r="I65" s="206">
        <v>130.94</v>
      </c>
      <c r="J65" s="394" t="s">
        <v>537</v>
      </c>
      <c r="K65" s="237"/>
    </row>
    <row r="66" spans="1:12" ht="18.75" x14ac:dyDescent="0.3">
      <c r="A66" s="263">
        <v>3.94</v>
      </c>
      <c r="B66" s="263">
        <v>5.1100000000000003</v>
      </c>
      <c r="C66" s="263">
        <v>27.5</v>
      </c>
      <c r="D66" s="263">
        <v>170.19544859999999</v>
      </c>
      <c r="E66" s="242" t="s">
        <v>714</v>
      </c>
      <c r="F66" s="386" t="s">
        <v>328</v>
      </c>
      <c r="G66" s="211">
        <f>IFERROR(VLOOKUP(F66,[2]Реестр!A:K,2,0),"")</f>
        <v>200</v>
      </c>
      <c r="H66" s="206">
        <v>200</v>
      </c>
      <c r="I66" s="207">
        <v>19.54</v>
      </c>
      <c r="J66" s="394" t="s">
        <v>29</v>
      </c>
      <c r="K66" s="237"/>
    </row>
    <row r="67" spans="1:12" ht="18.75" x14ac:dyDescent="0.3">
      <c r="A67" s="264">
        <v>0.14000000000000001</v>
      </c>
      <c r="B67" s="264">
        <v>0.1</v>
      </c>
      <c r="C67" s="264">
        <v>1.5</v>
      </c>
      <c r="D67" s="264">
        <v>83.962620000000015</v>
      </c>
      <c r="E67" s="242" t="s">
        <v>471</v>
      </c>
      <c r="F67" s="242" t="s">
        <v>715</v>
      </c>
      <c r="G67" s="211" t="str">
        <f>IFERROR(VLOOKUP(F67,[2]Реестр!A:K,2,0),"")</f>
        <v/>
      </c>
      <c r="H67" s="206">
        <v>50</v>
      </c>
      <c r="I67" s="207">
        <v>4.5</v>
      </c>
      <c r="J67" s="394" t="s">
        <v>479</v>
      </c>
      <c r="K67" s="208"/>
    </row>
    <row r="68" spans="1:12" ht="18.75" x14ac:dyDescent="0.3">
      <c r="A68" s="264">
        <v>3.3</v>
      </c>
      <c r="B68" s="264">
        <v>0.3</v>
      </c>
      <c r="C68" s="264">
        <v>23.4</v>
      </c>
      <c r="D68" s="264">
        <v>112</v>
      </c>
      <c r="E68" s="381" t="s">
        <v>471</v>
      </c>
      <c r="F68" s="381" t="s">
        <v>707</v>
      </c>
      <c r="G68" s="211" t="str">
        <f>IFERROR(VLOOKUP(F68,[2]Реестр!A:K,2,0),"")</f>
        <v/>
      </c>
      <c r="H68" s="206">
        <v>50</v>
      </c>
      <c r="I68" s="207">
        <v>4.25</v>
      </c>
      <c r="J68" s="394" t="s">
        <v>23</v>
      </c>
    </row>
    <row r="69" spans="1:12" ht="18.75" x14ac:dyDescent="0.3">
      <c r="A69" s="209"/>
      <c r="B69" s="209"/>
      <c r="C69" s="209"/>
      <c r="D69" s="209"/>
      <c r="E69" s="218"/>
      <c r="F69" s="217"/>
      <c r="G69" s="211"/>
      <c r="H69" s="206"/>
      <c r="I69" s="207"/>
      <c r="J69" s="394" t="s">
        <v>540</v>
      </c>
    </row>
    <row r="70" spans="1:12" ht="18" customHeight="1" x14ac:dyDescent="0.3">
      <c r="A70" s="464" t="s">
        <v>16</v>
      </c>
      <c r="B70" s="464"/>
      <c r="C70" s="464"/>
      <c r="D70" s="464"/>
      <c r="E70" s="464"/>
      <c r="F70" s="464"/>
      <c r="G70" s="206"/>
      <c r="H70" s="206"/>
      <c r="I70" s="207">
        <f>SUM(I57:I61)+SUM(I63:I69)</f>
        <v>442.34000000000003</v>
      </c>
      <c r="J70" s="201">
        <v>246.31</v>
      </c>
      <c r="K70" s="208">
        <f>J70-I70</f>
        <v>-196.03000000000003</v>
      </c>
    </row>
    <row r="71" spans="1:12" ht="18.75" hidden="1" x14ac:dyDescent="0.3">
      <c r="A71" s="465" t="s">
        <v>34</v>
      </c>
      <c r="B71" s="466"/>
      <c r="C71" s="466"/>
      <c r="D71" s="466"/>
      <c r="E71" s="466"/>
      <c r="F71" s="466"/>
      <c r="G71" s="466"/>
      <c r="H71" s="466"/>
      <c r="I71" s="467"/>
      <c r="J71" s="206"/>
      <c r="K71" s="208"/>
    </row>
    <row r="72" spans="1:12" ht="18.75" hidden="1" x14ac:dyDescent="0.25">
      <c r="A72" s="369">
        <v>0.24</v>
      </c>
      <c r="B72" s="369">
        <v>0.03</v>
      </c>
      <c r="C72" s="369">
        <v>0.74</v>
      </c>
      <c r="D72" s="369">
        <v>4.2</v>
      </c>
      <c r="E72" s="370" t="str">
        <f>"7/10"</f>
        <v>7/10</v>
      </c>
      <c r="F72" s="265" t="s">
        <v>679</v>
      </c>
      <c r="G72" s="211" t="str">
        <f>IFERROR(VLOOKUP(F72,[1]Реестр!A:K,2,0),"")</f>
        <v/>
      </c>
      <c r="H72" s="210">
        <v>30</v>
      </c>
      <c r="I72" s="230">
        <v>16.100000000000001</v>
      </c>
    </row>
    <row r="73" spans="1:12" ht="18.75" hidden="1" x14ac:dyDescent="0.3">
      <c r="A73" s="348">
        <v>19.440000000000001</v>
      </c>
      <c r="B73" s="348">
        <v>21.37</v>
      </c>
      <c r="C73" s="348">
        <v>55.36</v>
      </c>
      <c r="D73" s="348">
        <v>508.5</v>
      </c>
      <c r="E73" s="349" t="str">
        <f>"8/35"</f>
        <v>8/35</v>
      </c>
      <c r="F73" s="349" t="s">
        <v>549</v>
      </c>
      <c r="G73" s="211" t="str">
        <f>IFERROR(VLOOKUP(F73,[2]Реестр!A:K,2,0),"")</f>
        <v/>
      </c>
      <c r="H73" s="206">
        <v>250</v>
      </c>
      <c r="I73" s="206">
        <v>140.84</v>
      </c>
    </row>
    <row r="74" spans="1:12" ht="18.75" hidden="1" x14ac:dyDescent="0.3">
      <c r="A74" s="263">
        <v>0.14000000000000001</v>
      </c>
      <c r="B74" s="263">
        <v>0.1</v>
      </c>
      <c r="C74" s="263">
        <v>1.5</v>
      </c>
      <c r="D74" s="263">
        <v>83.962620000000015</v>
      </c>
      <c r="E74" s="349" t="str">
        <f>"11/1"</f>
        <v>11/1</v>
      </c>
      <c r="F74" s="349" t="s">
        <v>317</v>
      </c>
      <c r="G74" s="211">
        <f>IFERROR(VLOOKUP(F74,[2]Реестр!A:K,2,0),"")</f>
        <v>200</v>
      </c>
      <c r="H74" s="206">
        <v>200</v>
      </c>
      <c r="I74" s="207">
        <v>12.8</v>
      </c>
    </row>
    <row r="75" spans="1:12" ht="18.75" hidden="1" x14ac:dyDescent="0.3">
      <c r="A75" s="209">
        <v>2.64</v>
      </c>
      <c r="B75" s="209">
        <v>0.24</v>
      </c>
      <c r="C75" s="209">
        <v>18.72</v>
      </c>
      <c r="D75" s="209">
        <v>89.6</v>
      </c>
      <c r="E75" s="210" t="s">
        <v>471</v>
      </c>
      <c r="F75" s="217" t="s">
        <v>66</v>
      </c>
      <c r="G75" s="211" t="str">
        <f>IFERROR(VLOOKUP(F75,[2]Реестр!A:K,2,0),"")</f>
        <v>100</v>
      </c>
      <c r="H75" s="206">
        <v>40</v>
      </c>
      <c r="I75" s="207">
        <v>3.6</v>
      </c>
    </row>
    <row r="76" spans="1:12" ht="18.75" hidden="1" x14ac:dyDescent="0.3">
      <c r="A76" s="209">
        <v>2.64</v>
      </c>
      <c r="B76" s="209">
        <v>0.48</v>
      </c>
      <c r="C76" s="209">
        <v>13.36</v>
      </c>
      <c r="D76" s="209">
        <v>77.2</v>
      </c>
      <c r="E76" s="210" t="s">
        <v>471</v>
      </c>
      <c r="F76" s="217" t="s">
        <v>65</v>
      </c>
      <c r="G76" s="211" t="str">
        <f>IFERROR(VLOOKUP(F76,[2]Реестр!A:K,2,0),"")</f>
        <v>100</v>
      </c>
      <c r="H76" s="206">
        <v>40</v>
      </c>
      <c r="I76" s="207">
        <v>3.6</v>
      </c>
    </row>
    <row r="77" spans="1:12" ht="18.75" hidden="1" x14ac:dyDescent="0.3">
      <c r="A77" s="196"/>
      <c r="B77" s="196"/>
      <c r="C77" s="196"/>
      <c r="D77" s="196"/>
      <c r="E77" s="197"/>
      <c r="F77" s="204"/>
      <c r="G77" s="199"/>
      <c r="H77" s="200"/>
      <c r="I77" s="203"/>
    </row>
    <row r="78" spans="1:12" ht="18.75" hidden="1" x14ac:dyDescent="0.3">
      <c r="A78" s="453" t="s">
        <v>16</v>
      </c>
      <c r="B78" s="454"/>
      <c r="C78" s="454"/>
      <c r="D78" s="454"/>
      <c r="E78" s="454"/>
      <c r="F78" s="455"/>
      <c r="G78" s="205"/>
      <c r="H78" s="206"/>
      <c r="I78" s="207">
        <f>SUM(I72:I77)</f>
        <v>176.94</v>
      </c>
      <c r="J78" s="215">
        <v>98.52</v>
      </c>
      <c r="L78" s="208">
        <f>J78-I78</f>
        <v>-78.42</v>
      </c>
    </row>
    <row r="79" spans="1:12" ht="18.75" x14ac:dyDescent="0.25">
      <c r="A79" s="477" t="s">
        <v>35</v>
      </c>
      <c r="B79" s="478"/>
      <c r="C79" s="478"/>
      <c r="D79" s="478"/>
      <c r="E79" s="478"/>
      <c r="F79" s="478"/>
      <c r="G79" s="478"/>
      <c r="H79" s="478"/>
      <c r="I79" s="479"/>
    </row>
    <row r="80" spans="1:12" ht="18.75" x14ac:dyDescent="0.3">
      <c r="A80" s="219">
        <v>7.7</v>
      </c>
      <c r="B80" s="219">
        <v>7.42</v>
      </c>
      <c r="C80" s="219">
        <v>32.090000000000003</v>
      </c>
      <c r="D80" s="219">
        <v>225.88</v>
      </c>
      <c r="E80" s="416" t="s">
        <v>408</v>
      </c>
      <c r="F80" s="406" t="s">
        <v>529</v>
      </c>
      <c r="G80" s="211">
        <f>IFERROR(VLOOKUP(F80,[2]Реестр!A:K,2,0),"")</f>
        <v>100</v>
      </c>
      <c r="H80" s="206">
        <v>80</v>
      </c>
      <c r="I80" s="207">
        <v>50</v>
      </c>
      <c r="K80" s="208"/>
    </row>
    <row r="81" spans="1:12" ht="18.75" x14ac:dyDescent="0.3">
      <c r="A81" s="453" t="s">
        <v>16</v>
      </c>
      <c r="B81" s="454"/>
      <c r="C81" s="454"/>
      <c r="D81" s="454"/>
      <c r="E81" s="454"/>
      <c r="F81" s="455"/>
      <c r="G81" s="205"/>
      <c r="H81" s="206"/>
      <c r="I81" s="207">
        <f>I80</f>
        <v>50</v>
      </c>
      <c r="J81" s="215">
        <v>29</v>
      </c>
    </row>
    <row r="82" spans="1:12" ht="18.75" x14ac:dyDescent="0.3">
      <c r="A82" s="465" t="s">
        <v>36</v>
      </c>
      <c r="B82" s="466"/>
      <c r="C82" s="466"/>
      <c r="D82" s="466"/>
      <c r="E82" s="466"/>
      <c r="F82" s="466"/>
      <c r="G82" s="466"/>
      <c r="H82" s="466"/>
      <c r="I82" s="467"/>
    </row>
    <row r="83" spans="1:12" ht="18.75" x14ac:dyDescent="0.3">
      <c r="A83" s="263">
        <v>4.1100000000000003</v>
      </c>
      <c r="B83" s="263">
        <v>4.7699999999999996</v>
      </c>
      <c r="C83" s="263">
        <v>26.5</v>
      </c>
      <c r="D83" s="263">
        <v>213.5</v>
      </c>
      <c r="E83" s="242" t="s">
        <v>711</v>
      </c>
      <c r="F83" s="242" t="s">
        <v>716</v>
      </c>
      <c r="G83" s="211" t="str">
        <f>IFERROR(VLOOKUP(F83,[2]Реестр!A:K,2,0),"")</f>
        <v/>
      </c>
      <c r="H83" s="206">
        <v>250</v>
      </c>
      <c r="I83" s="207">
        <v>50</v>
      </c>
    </row>
    <row r="84" spans="1:12" ht="18.75" x14ac:dyDescent="0.3">
      <c r="A84" s="453" t="s">
        <v>16</v>
      </c>
      <c r="B84" s="454"/>
      <c r="C84" s="454"/>
      <c r="D84" s="454"/>
      <c r="E84" s="454"/>
      <c r="F84" s="455"/>
      <c r="G84" s="205"/>
      <c r="H84" s="206"/>
      <c r="I84" s="207">
        <f>SUM(I83:I83)</f>
        <v>50</v>
      </c>
      <c r="J84" s="215">
        <v>27</v>
      </c>
    </row>
    <row r="85" spans="1:12" ht="18.75" hidden="1" x14ac:dyDescent="0.3">
      <c r="A85" s="465" t="s">
        <v>503</v>
      </c>
      <c r="B85" s="466"/>
      <c r="C85" s="466"/>
      <c r="D85" s="466"/>
      <c r="E85" s="466"/>
      <c r="F85" s="466"/>
      <c r="G85" s="466"/>
      <c r="H85" s="466"/>
      <c r="I85" s="467"/>
    </row>
    <row r="86" spans="1:12" s="234" customFormat="1" ht="27" hidden="1" customHeight="1" x14ac:dyDescent="0.25">
      <c r="A86" s="368">
        <v>1.29</v>
      </c>
      <c r="B86" s="368">
        <v>5.97</v>
      </c>
      <c r="C86" s="368">
        <v>7.97</v>
      </c>
      <c r="D86" s="368">
        <v>86.23</v>
      </c>
      <c r="E86" s="357" t="str">
        <f>"7/80"</f>
        <v>7/80</v>
      </c>
      <c r="F86" s="228" t="s">
        <v>680</v>
      </c>
      <c r="G86" s="211" t="str">
        <f>IFERROR(VLOOKUP(F86,[2]Реестр!A:K,2,0),"")</f>
        <v/>
      </c>
      <c r="H86" s="210">
        <v>100</v>
      </c>
      <c r="I86" s="230">
        <v>52.76</v>
      </c>
      <c r="J86" s="268"/>
    </row>
    <row r="87" spans="1:12" ht="18.75" hidden="1" x14ac:dyDescent="0.3">
      <c r="A87" s="263">
        <v>12.44</v>
      </c>
      <c r="B87" s="263">
        <v>7.77</v>
      </c>
      <c r="C87" s="263">
        <v>25.16</v>
      </c>
      <c r="D87" s="263">
        <v>208</v>
      </c>
      <c r="E87" s="267" t="str">
        <f>"6/70"</f>
        <v>6/70</v>
      </c>
      <c r="F87" s="267" t="s">
        <v>220</v>
      </c>
      <c r="G87" s="211" t="str">
        <f>IFERROR(VLOOKUP(F87,[2]Реестр!A:K,2,0),"")</f>
        <v>300</v>
      </c>
      <c r="H87" s="206">
        <v>250</v>
      </c>
      <c r="I87" s="207">
        <v>50</v>
      </c>
    </row>
    <row r="88" spans="1:12" ht="18.75" hidden="1" x14ac:dyDescent="0.3">
      <c r="A88" s="348">
        <v>19.440000000000001</v>
      </c>
      <c r="B88" s="348">
        <v>21.37</v>
      </c>
      <c r="C88" s="348">
        <v>55.36</v>
      </c>
      <c r="D88" s="348">
        <v>508.5</v>
      </c>
      <c r="E88" s="349" t="str">
        <f>"8/35"</f>
        <v>8/35</v>
      </c>
      <c r="F88" s="349" t="s">
        <v>549</v>
      </c>
      <c r="G88" s="211" t="str">
        <f>IFERROR(VLOOKUP(F88,[2]Реестр!A:K,2,0),"")</f>
        <v/>
      </c>
      <c r="H88" s="206">
        <v>250</v>
      </c>
      <c r="I88" s="206">
        <v>140.84</v>
      </c>
    </row>
    <row r="89" spans="1:12" ht="18.75" hidden="1" x14ac:dyDescent="0.3">
      <c r="A89" s="263">
        <v>0.14000000000000001</v>
      </c>
      <c r="B89" s="263">
        <v>0.1</v>
      </c>
      <c r="C89" s="263">
        <v>1.5</v>
      </c>
      <c r="D89" s="263">
        <v>83.962620000000015</v>
      </c>
      <c r="E89" s="349" t="str">
        <f>"11/1"</f>
        <v>11/1</v>
      </c>
      <c r="F89" s="349" t="s">
        <v>317</v>
      </c>
      <c r="G89" s="211">
        <f>IFERROR(VLOOKUP(F89,[2]Реестр!A:K,2,0),"")</f>
        <v>200</v>
      </c>
      <c r="H89" s="206">
        <v>200</v>
      </c>
      <c r="I89" s="207">
        <v>12.8</v>
      </c>
    </row>
    <row r="90" spans="1:12" ht="18.75" hidden="1" x14ac:dyDescent="0.3">
      <c r="A90" s="209">
        <v>3.3</v>
      </c>
      <c r="B90" s="209">
        <v>0.3</v>
      </c>
      <c r="C90" s="209">
        <v>23.4</v>
      </c>
      <c r="D90" s="209">
        <v>112</v>
      </c>
      <c r="E90" s="210" t="s">
        <v>471</v>
      </c>
      <c r="F90" s="217" t="s">
        <v>66</v>
      </c>
      <c r="G90" s="211" t="str">
        <f>IFERROR(VLOOKUP(F90,[2]Реестр!A:K,2,0),"")</f>
        <v>100</v>
      </c>
      <c r="H90" s="206">
        <v>50</v>
      </c>
      <c r="I90" s="207">
        <v>4.5</v>
      </c>
    </row>
    <row r="91" spans="1:12" ht="18.75" hidden="1" x14ac:dyDescent="0.3">
      <c r="A91" s="209">
        <v>3.3</v>
      </c>
      <c r="B91" s="209">
        <v>0.6</v>
      </c>
      <c r="C91" s="209">
        <v>16.7</v>
      </c>
      <c r="D91" s="209">
        <v>96.5</v>
      </c>
      <c r="E91" s="210" t="s">
        <v>471</v>
      </c>
      <c r="F91" s="217" t="s">
        <v>65</v>
      </c>
      <c r="G91" s="211" t="str">
        <f>IFERROR(VLOOKUP(F91,[2]Реестр!A:K,2,0),"")</f>
        <v>100</v>
      </c>
      <c r="H91" s="206">
        <v>50</v>
      </c>
      <c r="I91" s="207">
        <v>4.5</v>
      </c>
    </row>
    <row r="92" spans="1:12" ht="18.75" hidden="1" x14ac:dyDescent="0.3">
      <c r="A92" s="196"/>
      <c r="B92" s="196"/>
      <c r="C92" s="196"/>
      <c r="D92" s="196"/>
      <c r="E92" s="214"/>
      <c r="F92" s="204"/>
      <c r="G92" s="199"/>
      <c r="H92" s="200"/>
      <c r="I92" s="203"/>
      <c r="K92" s="208"/>
    </row>
    <row r="93" spans="1:12" ht="18.75" hidden="1" x14ac:dyDescent="0.3">
      <c r="A93" s="464" t="s">
        <v>16</v>
      </c>
      <c r="B93" s="464"/>
      <c r="C93" s="464"/>
      <c r="D93" s="464"/>
      <c r="E93" s="464"/>
      <c r="F93" s="464"/>
      <c r="G93" s="205"/>
      <c r="H93" s="206"/>
      <c r="I93" s="207">
        <f>SUM(I86:I92)</f>
        <v>265.39999999999998</v>
      </c>
      <c r="J93" s="215">
        <v>147.79</v>
      </c>
      <c r="L93" s="208">
        <f>J93-I93</f>
        <v>-117.60999999999999</v>
      </c>
    </row>
    <row r="94" spans="1:12" ht="18.75" hidden="1" x14ac:dyDescent="0.3">
      <c r="A94" s="462" t="s">
        <v>544</v>
      </c>
      <c r="B94" s="462"/>
      <c r="C94" s="462"/>
      <c r="D94" s="462"/>
      <c r="E94" s="462"/>
      <c r="F94" s="462"/>
      <c r="G94" s="462"/>
      <c r="H94" s="462"/>
      <c r="I94" s="462"/>
      <c r="K94" s="208"/>
    </row>
    <row r="95" spans="1:12" ht="18.75" hidden="1" x14ac:dyDescent="0.25">
      <c r="A95" s="209">
        <f>IFERROR(VLOOKUP(F95,[1]Реестр!A:K,3,0)*H95/G95,"")</f>
        <v>5.08</v>
      </c>
      <c r="B95" s="209">
        <f>IFERROR(VLOOKUP(F95,[1]Реестр!A:K,4,0)*H95/G95,"")</f>
        <v>11.55</v>
      </c>
      <c r="C95" s="209">
        <f>IFERROR(VLOOKUP(F95,[1]Реестр!A:K,5,0)*H95/G95,"")</f>
        <v>9.9700000000000006</v>
      </c>
      <c r="D95" s="209">
        <f>IFERROR(VLOOKUP(F95,[1]Реестр!A:K,6,0)*H95/G95,"")</f>
        <v>164.15</v>
      </c>
      <c r="E95" s="210" t="str">
        <f>IFERROR(VLOOKUP(F95,[1]Реестр!A:K,11,0),"")</f>
        <v>1*51</v>
      </c>
      <c r="F95" s="398" t="s">
        <v>91</v>
      </c>
      <c r="G95" s="211" t="str">
        <f>IFERROR(VLOOKUP(F95,[1]Реестр!A:K,2,0),"")</f>
        <v>45</v>
      </c>
      <c r="H95" s="143">
        <v>45</v>
      </c>
      <c r="I95" s="450">
        <v>149.52000000000001</v>
      </c>
      <c r="K95" s="208"/>
    </row>
    <row r="96" spans="1:12" ht="33.75" hidden="1" customHeight="1" x14ac:dyDescent="0.25">
      <c r="A96" s="209">
        <f>IFERROR(VLOOKUP(F96,[1]Реестр!A:K,3,0)*H96/G96,"")</f>
        <v>6.3749999999999991</v>
      </c>
      <c r="B96" s="209">
        <f>IFERROR(VLOOKUP(F96,[1]Реестр!A:K,4,0)*H96/G96,"")</f>
        <v>5.7499999999999991</v>
      </c>
      <c r="C96" s="209">
        <f>IFERROR(VLOOKUP(F96,[1]Реестр!A:K,5,0)*H96/G96,"")</f>
        <v>0.375</v>
      </c>
      <c r="D96" s="209">
        <f>IFERROR(VLOOKUP(F96,[1]Реестр!A:K,6,0)*H96/G96,"")</f>
        <v>78.75</v>
      </c>
      <c r="E96" s="210" t="str">
        <f>IFERROR(VLOOKUP(F96,[1]Реестр!A:K,11,0),"")</f>
        <v>4*57</v>
      </c>
      <c r="F96" s="398" t="s">
        <v>162</v>
      </c>
      <c r="G96" s="211" t="str">
        <f>IFERROR(VLOOKUP(F96,[1]Реестр!A:K,2,0),"")</f>
        <v>40</v>
      </c>
      <c r="H96" s="143">
        <v>50</v>
      </c>
      <c r="I96" s="451"/>
      <c r="K96" s="208"/>
    </row>
    <row r="97" spans="1:12" ht="18.75" hidden="1" x14ac:dyDescent="0.25">
      <c r="A97" s="243">
        <v>6.26</v>
      </c>
      <c r="B97" s="243">
        <v>5.9</v>
      </c>
      <c r="C97" s="243">
        <v>28.4</v>
      </c>
      <c r="D97" s="243">
        <v>194.19400152</v>
      </c>
      <c r="E97" s="228" t="str">
        <f>"2/68"</f>
        <v>2/68</v>
      </c>
      <c r="F97" s="228" t="s">
        <v>666</v>
      </c>
      <c r="G97" s="211" t="str">
        <f>IFERROR(VLOOKUP(F97,[1]Реестр!A:K,2,0),"")</f>
        <v/>
      </c>
      <c r="H97" s="143">
        <v>200</v>
      </c>
      <c r="I97" s="451"/>
      <c r="K97" s="208"/>
    </row>
    <row r="98" spans="1:12" ht="30" hidden="1" x14ac:dyDescent="0.25">
      <c r="A98" s="243">
        <v>2.74</v>
      </c>
      <c r="B98" s="243">
        <v>2.2000000000000002</v>
      </c>
      <c r="C98" s="243">
        <v>4.8899999999999997</v>
      </c>
      <c r="D98" s="243">
        <v>49.717531084999983</v>
      </c>
      <c r="E98" s="228" t="str">
        <f>"11/59 (2004 № 692)"</f>
        <v>11/59 (2004 № 692)</v>
      </c>
      <c r="F98" s="228" t="s">
        <v>667</v>
      </c>
      <c r="G98" s="211">
        <f>IFERROR(VLOOKUP(F98,[1]Реестр!A:K,2,0),"")</f>
        <v>200</v>
      </c>
      <c r="H98" s="143" t="str">
        <f>"200"</f>
        <v>200</v>
      </c>
      <c r="I98" s="451"/>
      <c r="K98" s="208"/>
    </row>
    <row r="99" spans="1:12" ht="18.75" hidden="1" x14ac:dyDescent="0.25">
      <c r="A99" s="209">
        <f>IFERROR(VLOOKUP(F99,[1]Реестр!A:K,3,0)*H99/G99,"")</f>
        <v>1.32</v>
      </c>
      <c r="B99" s="209">
        <f>IFERROR(VLOOKUP(F99,[1]Реестр!A:K,4,0)*H99/G99,"")</f>
        <v>0.24</v>
      </c>
      <c r="C99" s="209">
        <f>IFERROR(VLOOKUP(F99,[1]Реестр!A:K,5,0)*H99/G99,"")</f>
        <v>6.68</v>
      </c>
      <c r="D99" s="209">
        <f>IFERROR(VLOOKUP(F99,[1]Реестр!A:K,6,0)*H99/G99,"")</f>
        <v>38.6</v>
      </c>
      <c r="E99" s="210" t="str">
        <f>IFERROR(VLOOKUP(F99,[1]Реестр!A:K,11,0),"")</f>
        <v>-</v>
      </c>
      <c r="F99" s="217" t="s">
        <v>65</v>
      </c>
      <c r="G99" s="211" t="str">
        <f>IFERROR(VLOOKUP(F99,[1]Реестр!A:K,2,0),"")</f>
        <v>100</v>
      </c>
      <c r="H99" s="229" t="str">
        <f>"20"</f>
        <v>20</v>
      </c>
      <c r="I99" s="452"/>
      <c r="K99" s="208"/>
    </row>
    <row r="100" spans="1:12" ht="18.75" hidden="1" x14ac:dyDescent="0.3">
      <c r="A100" s="464" t="s">
        <v>16</v>
      </c>
      <c r="B100" s="464"/>
      <c r="C100" s="464"/>
      <c r="D100" s="464"/>
      <c r="E100" s="464"/>
      <c r="F100" s="464"/>
      <c r="G100" s="205"/>
      <c r="H100" s="206"/>
      <c r="I100" s="207">
        <f>SUM(I95:I99)</f>
        <v>149.52000000000001</v>
      </c>
      <c r="K100" s="208"/>
    </row>
    <row r="101" spans="1:12" ht="18.75" hidden="1" x14ac:dyDescent="0.3">
      <c r="A101" s="462" t="s">
        <v>545</v>
      </c>
      <c r="B101" s="462"/>
      <c r="C101" s="462"/>
      <c r="D101" s="462"/>
      <c r="E101" s="462"/>
      <c r="F101" s="462"/>
      <c r="G101" s="462"/>
      <c r="H101" s="462"/>
      <c r="I101" s="462"/>
      <c r="J101" s="215">
        <v>85.2</v>
      </c>
      <c r="K101" s="208"/>
      <c r="L101" s="208">
        <f>J101-I101</f>
        <v>85.2</v>
      </c>
    </row>
    <row r="102" spans="1:12" ht="18.75" hidden="1" x14ac:dyDescent="0.25">
      <c r="A102" s="209">
        <f>IFERROR(VLOOKUP(F102,[1]Реестр!A:K,3,0)*H102/G102,"")</f>
        <v>6.3749999999999991</v>
      </c>
      <c r="B102" s="209">
        <f>IFERROR(VLOOKUP(F102,[1]Реестр!A:K,4,0)*H102/G102,"")</f>
        <v>5.7499999999999991</v>
      </c>
      <c r="C102" s="209">
        <f>IFERROR(VLOOKUP(F102,[1]Реестр!A:K,5,0)*H102/G102,"")</f>
        <v>0.375</v>
      </c>
      <c r="D102" s="209">
        <f>IFERROR(VLOOKUP(F102,[1]Реестр!A:K,6,0)*H102/G102,"")</f>
        <v>78.75</v>
      </c>
      <c r="E102" s="210" t="str">
        <f>IFERROR(VLOOKUP(F102,[1]Реестр!A:K,11,0),"")</f>
        <v>4*57</v>
      </c>
      <c r="F102" s="398" t="s">
        <v>162</v>
      </c>
      <c r="G102" s="211" t="str">
        <f>IFERROR(VLOOKUP(F102,[1]Реестр!A:K,2,0),"")</f>
        <v>40</v>
      </c>
      <c r="H102" s="143">
        <v>50</v>
      </c>
      <c r="I102" s="450">
        <v>149.52000000000001</v>
      </c>
      <c r="K102" s="208"/>
    </row>
    <row r="103" spans="1:12" ht="18.75" hidden="1" customHeight="1" x14ac:dyDescent="0.25">
      <c r="A103" s="243">
        <v>6.03</v>
      </c>
      <c r="B103" s="243">
        <v>12.83</v>
      </c>
      <c r="C103" s="243">
        <v>34.92</v>
      </c>
      <c r="D103" s="243">
        <v>275.69060599999995</v>
      </c>
      <c r="E103" s="228" t="str">
        <f>"2/78"</f>
        <v>2/78</v>
      </c>
      <c r="F103" s="228" t="s">
        <v>668</v>
      </c>
      <c r="G103" s="211" t="str">
        <f>IFERROR(VLOOKUP(F103,[1]Реестр!A:K,2,0),"")</f>
        <v/>
      </c>
      <c r="H103" s="143">
        <v>200</v>
      </c>
      <c r="I103" s="451"/>
      <c r="K103" s="208"/>
    </row>
    <row r="104" spans="1:12" ht="18.75" hidden="1" x14ac:dyDescent="0.25">
      <c r="A104" s="209">
        <f>IFERROR(VLOOKUP(F104,[1]Реестр!A:K,3,0)*H104/G104,"")</f>
        <v>0.17499999999999999</v>
      </c>
      <c r="B104" s="209">
        <f>IFERROR(VLOOKUP(F104,[1]Реестр!A:K,4,0)*H104/G104,"")</f>
        <v>0.105</v>
      </c>
      <c r="C104" s="209">
        <f>IFERROR(VLOOKUP(F104,[1]Реестр!A:K,5,0)*H104/G104,"")</f>
        <v>10.01</v>
      </c>
      <c r="D104" s="209">
        <f>IFERROR(VLOOKUP(F104,[1]Реестр!A:K,6,0)*H104/G104,"")</f>
        <v>40.6</v>
      </c>
      <c r="E104" s="210" t="str">
        <f>IFERROR(VLOOKUP(F104,[1]Реестр!A:K,11,0),"")</f>
        <v>12*2</v>
      </c>
      <c r="F104" s="398" t="s">
        <v>371</v>
      </c>
      <c r="G104" s="211" t="str">
        <f>IFERROR(VLOOKUP(F104,[1]Реестр!A:K,2,0),"")</f>
        <v>100</v>
      </c>
      <c r="H104" s="143">
        <v>35</v>
      </c>
      <c r="I104" s="451"/>
      <c r="K104" s="208"/>
    </row>
    <row r="105" spans="1:12" ht="18.75" hidden="1" x14ac:dyDescent="0.25">
      <c r="A105" s="243">
        <v>0.18</v>
      </c>
      <c r="B105" s="243">
        <v>0.04</v>
      </c>
      <c r="C105" s="243">
        <v>13.75</v>
      </c>
      <c r="D105" s="243">
        <v>53.136642799999997</v>
      </c>
      <c r="E105" s="210" t="s">
        <v>353</v>
      </c>
      <c r="F105" s="228" t="s">
        <v>563</v>
      </c>
      <c r="G105" s="211" t="str">
        <f>IFERROR(VLOOKUP(F105,[1]Реестр!A:K,2,0),"")</f>
        <v/>
      </c>
      <c r="H105" s="143" t="str">
        <f>"200"</f>
        <v>200</v>
      </c>
      <c r="I105" s="451"/>
      <c r="K105" s="208"/>
    </row>
    <row r="106" spans="1:12" ht="18.75" hidden="1" x14ac:dyDescent="0.25">
      <c r="A106" s="209">
        <f>IFERROR(VLOOKUP(F106,[1]Реестр!A:K,3,0)*H106/G106,"")</f>
        <v>1.32</v>
      </c>
      <c r="B106" s="209">
        <f>IFERROR(VLOOKUP(F106,[1]Реестр!A:K,4,0)*H106/G106,"")</f>
        <v>0.24</v>
      </c>
      <c r="C106" s="209">
        <f>IFERROR(VLOOKUP(F106,[1]Реестр!A:K,5,0)*H106/G106,"")</f>
        <v>6.68</v>
      </c>
      <c r="D106" s="209">
        <f>IFERROR(VLOOKUP(F106,[1]Реестр!A:K,6,0)*H106/G106,"")</f>
        <v>38.6</v>
      </c>
      <c r="E106" s="210" t="str">
        <f>IFERROR(VLOOKUP(F106,[1]Реестр!A:K,11,0),"")</f>
        <v>-</v>
      </c>
      <c r="F106" s="217" t="s">
        <v>65</v>
      </c>
      <c r="G106" s="211" t="str">
        <f>IFERROR(VLOOKUP(F106,[1]Реестр!A:K,2,0),"")</f>
        <v>100</v>
      </c>
      <c r="H106" s="229" t="str">
        <f>"20"</f>
        <v>20</v>
      </c>
      <c r="I106" s="451"/>
      <c r="K106" s="208"/>
    </row>
    <row r="107" spans="1:12" ht="18.75" hidden="1" x14ac:dyDescent="0.3">
      <c r="A107" s="209">
        <f>IFERROR(VLOOKUP(F107,[1]Реестр!A:K,3,0)*H107/G107,"")</f>
        <v>1.32</v>
      </c>
      <c r="B107" s="209">
        <f>IFERROR(VLOOKUP(F107,[1]Реестр!A:K,4,0)*H107/G107,"")</f>
        <v>0.12</v>
      </c>
      <c r="C107" s="209">
        <f>IFERROR(VLOOKUP(F107,[1]Реестр!A:K,5,0)*H107/G107,"")</f>
        <v>9.36</v>
      </c>
      <c r="D107" s="209">
        <f>IFERROR(VLOOKUP(F107,[1]Реестр!A:K,6,0)*H107/G107,"")</f>
        <v>44.8</v>
      </c>
      <c r="E107" s="210" t="str">
        <f>IFERROR(VLOOKUP(F107,[1]Реестр!A:K,11,0),"")</f>
        <v>-</v>
      </c>
      <c r="F107" s="217" t="s">
        <v>66</v>
      </c>
      <c r="G107" s="211" t="str">
        <f>IFERROR(VLOOKUP(F107,[1]Реестр!A:K,2,0),"")</f>
        <v>100</v>
      </c>
      <c r="H107" s="206">
        <v>20</v>
      </c>
      <c r="I107" s="452"/>
      <c r="K107" s="208"/>
    </row>
    <row r="108" spans="1:12" ht="18.75" hidden="1" x14ac:dyDescent="0.3">
      <c r="A108" s="464" t="s">
        <v>16</v>
      </c>
      <c r="B108" s="464"/>
      <c r="C108" s="464"/>
      <c r="D108" s="464"/>
      <c r="E108" s="464"/>
      <c r="F108" s="464"/>
      <c r="G108" s="205"/>
      <c r="H108" s="206"/>
      <c r="I108" s="207">
        <f>SUM(I102)</f>
        <v>149.52000000000001</v>
      </c>
      <c r="K108" s="208"/>
    </row>
    <row r="109" spans="1:12" ht="18.75" hidden="1" x14ac:dyDescent="0.3">
      <c r="A109" s="462" t="s">
        <v>566</v>
      </c>
      <c r="B109" s="462"/>
      <c r="C109" s="462"/>
      <c r="D109" s="462"/>
      <c r="E109" s="462"/>
      <c r="F109" s="462"/>
      <c r="G109" s="462"/>
      <c r="H109" s="462"/>
      <c r="I109" s="462"/>
      <c r="K109" s="208"/>
    </row>
    <row r="110" spans="1:12" ht="30" hidden="1" x14ac:dyDescent="0.25">
      <c r="A110" s="367">
        <v>1.03</v>
      </c>
      <c r="B110" s="396">
        <v>4.7699999999999996</v>
      </c>
      <c r="C110" s="396">
        <v>6.38</v>
      </c>
      <c r="D110" s="396">
        <v>68.989999999999995</v>
      </c>
      <c r="E110" s="357" t="str">
        <f>"7/80"</f>
        <v>7/80</v>
      </c>
      <c r="F110" s="228" t="s">
        <v>678</v>
      </c>
      <c r="G110" s="211" t="str">
        <f>IFERROR(VLOOKUP(F110,[2]Реестр!A:K,2,0),"")</f>
        <v/>
      </c>
      <c r="H110" s="263" t="s">
        <v>81</v>
      </c>
      <c r="I110" s="450">
        <v>224.27</v>
      </c>
      <c r="K110" s="208"/>
    </row>
    <row r="111" spans="1:12" ht="18.75" hidden="1" x14ac:dyDescent="0.25">
      <c r="A111" s="263">
        <v>12.44</v>
      </c>
      <c r="B111" s="263">
        <v>7.77</v>
      </c>
      <c r="C111" s="263">
        <v>25.16</v>
      </c>
      <c r="D111" s="263">
        <v>208</v>
      </c>
      <c r="E111" s="267" t="str">
        <f>"6/70"</f>
        <v>6/70</v>
      </c>
      <c r="F111" s="267" t="s">
        <v>220</v>
      </c>
      <c r="G111" s="211" t="str">
        <f>IFERROR(VLOOKUP(F111,[2]Реестр!A:K,2,0),"")</f>
        <v>300</v>
      </c>
      <c r="H111" s="243" t="str">
        <f>"250"</f>
        <v>250</v>
      </c>
      <c r="I111" s="451"/>
      <c r="K111" s="208"/>
    </row>
    <row r="112" spans="1:12" ht="18.75" hidden="1" x14ac:dyDescent="0.25">
      <c r="A112" s="263">
        <v>16.579999999999998</v>
      </c>
      <c r="B112" s="263">
        <v>19.5</v>
      </c>
      <c r="C112" s="263">
        <v>68.38</v>
      </c>
      <c r="D112" s="263">
        <v>327.07</v>
      </c>
      <c r="E112" s="349" t="str">
        <f>"8/35"</f>
        <v>8/35</v>
      </c>
      <c r="F112" s="349" t="s">
        <v>549</v>
      </c>
      <c r="G112" s="211"/>
      <c r="H112" s="266">
        <v>200</v>
      </c>
      <c r="I112" s="451"/>
      <c r="K112" s="208"/>
    </row>
    <row r="113" spans="1:11" ht="18.75" hidden="1" x14ac:dyDescent="0.25">
      <c r="A113" s="263">
        <v>0.14000000000000001</v>
      </c>
      <c r="B113" s="263">
        <v>0.1</v>
      </c>
      <c r="C113" s="263">
        <v>11</v>
      </c>
      <c r="D113" s="263">
        <v>83.962620000000015</v>
      </c>
      <c r="E113" s="228" t="str">
        <f>"11/73"</f>
        <v>11/73</v>
      </c>
      <c r="F113" s="228" t="s">
        <v>669</v>
      </c>
      <c r="G113" s="211"/>
      <c r="H113" s="263" t="s">
        <v>118</v>
      </c>
      <c r="I113" s="451"/>
      <c r="K113" s="208"/>
    </row>
    <row r="114" spans="1:11" ht="18.75" hidden="1" customHeight="1" x14ac:dyDescent="0.25">
      <c r="A114" s="264">
        <v>2.64</v>
      </c>
      <c r="B114" s="264">
        <v>0.48</v>
      </c>
      <c r="C114" s="264">
        <v>16.68</v>
      </c>
      <c r="D114" s="264">
        <v>77.352000000000004</v>
      </c>
      <c r="E114" s="228" t="str">
        <f>"-"</f>
        <v>-</v>
      </c>
      <c r="F114" s="217" t="s">
        <v>66</v>
      </c>
      <c r="G114" s="211"/>
      <c r="H114" s="264" t="str">
        <f>"40"</f>
        <v>40</v>
      </c>
      <c r="I114" s="451"/>
      <c r="K114" s="208"/>
    </row>
    <row r="115" spans="1:11" ht="18.75" hidden="1" x14ac:dyDescent="0.25">
      <c r="A115" s="264">
        <v>2.64</v>
      </c>
      <c r="B115" s="264">
        <v>0.48</v>
      </c>
      <c r="C115" s="264">
        <v>16.68</v>
      </c>
      <c r="D115" s="264">
        <v>77.352000000000004</v>
      </c>
      <c r="E115" s="265" t="str">
        <f>"-"</f>
        <v>-</v>
      </c>
      <c r="F115" s="217" t="s">
        <v>65</v>
      </c>
      <c r="G115" s="211" t="str">
        <f>IFERROR(VLOOKUP(F115,[2]Реестр!A:K,2,0),"")</f>
        <v>100</v>
      </c>
      <c r="H115" s="264" t="str">
        <f>"40"</f>
        <v>40</v>
      </c>
      <c r="I115" s="451"/>
      <c r="K115" s="208"/>
    </row>
    <row r="116" spans="1:11" ht="18.75" hidden="1" x14ac:dyDescent="0.25">
      <c r="A116" s="241"/>
      <c r="B116" s="241"/>
      <c r="C116" s="241"/>
      <c r="D116" s="241"/>
      <c r="E116" s="265"/>
      <c r="F116" s="217"/>
      <c r="G116" s="211"/>
      <c r="H116" s="269"/>
      <c r="I116" s="451"/>
      <c r="K116" s="208"/>
    </row>
    <row r="117" spans="1:11" ht="18.75" hidden="1" x14ac:dyDescent="0.3">
      <c r="A117" s="464" t="s">
        <v>16</v>
      </c>
      <c r="B117" s="464"/>
      <c r="C117" s="464"/>
      <c r="D117" s="464"/>
      <c r="E117" s="464"/>
      <c r="F117" s="464"/>
      <c r="G117" s="205"/>
      <c r="H117" s="206"/>
      <c r="I117" s="207">
        <f>SUM(I110:I116)</f>
        <v>224.27</v>
      </c>
      <c r="K117" s="208"/>
    </row>
    <row r="118" spans="1:11" ht="18.75" hidden="1" x14ac:dyDescent="0.3">
      <c r="A118" s="462" t="s">
        <v>550</v>
      </c>
      <c r="B118" s="462"/>
      <c r="C118" s="462"/>
      <c r="D118" s="462"/>
      <c r="E118" s="462"/>
      <c r="F118" s="462"/>
      <c r="G118" s="462"/>
      <c r="H118" s="462"/>
      <c r="I118" s="462"/>
      <c r="K118" s="208"/>
    </row>
    <row r="119" spans="1:11" ht="30" hidden="1" x14ac:dyDescent="0.25">
      <c r="A119" s="367">
        <v>1.03</v>
      </c>
      <c r="B119" s="396">
        <v>4.7699999999999996</v>
      </c>
      <c r="C119" s="396">
        <v>6.38</v>
      </c>
      <c r="D119" s="396">
        <v>68.989999999999995</v>
      </c>
      <c r="E119" s="357" t="str">
        <f>"7/80"</f>
        <v>7/80</v>
      </c>
      <c r="F119" s="228" t="s">
        <v>678</v>
      </c>
      <c r="G119" s="211" t="str">
        <f>IFERROR(VLOOKUP(F119,[2]Реестр!A:K,2,0),"")</f>
        <v/>
      </c>
      <c r="H119" s="210">
        <v>80</v>
      </c>
      <c r="I119" s="450">
        <v>224.27</v>
      </c>
      <c r="K119" s="208"/>
    </row>
    <row r="120" spans="1:11" ht="18.75" hidden="1" x14ac:dyDescent="0.3">
      <c r="A120" s="263">
        <v>5.55</v>
      </c>
      <c r="B120" s="263">
        <v>12.08</v>
      </c>
      <c r="C120" s="263">
        <v>17.95</v>
      </c>
      <c r="D120" s="263">
        <v>199.78905478333331</v>
      </c>
      <c r="E120" s="227" t="str">
        <f>"6/70-1"</f>
        <v>6/70-1</v>
      </c>
      <c r="F120" s="228" t="s">
        <v>670</v>
      </c>
      <c r="G120" s="211" t="str">
        <f>IFERROR(VLOOKUP(F120,[2]Реестр!A:K,2,0),"")</f>
        <v>300</v>
      </c>
      <c r="H120" s="206">
        <v>250</v>
      </c>
      <c r="I120" s="451"/>
      <c r="K120" s="208"/>
    </row>
    <row r="121" spans="1:11" ht="18.75" hidden="1" x14ac:dyDescent="0.3">
      <c r="A121" s="263">
        <v>16.579999999999998</v>
      </c>
      <c r="B121" s="263">
        <v>19.5</v>
      </c>
      <c r="C121" s="263">
        <v>68.38</v>
      </c>
      <c r="D121" s="263">
        <v>327.07</v>
      </c>
      <c r="E121" s="349" t="str">
        <f>"8/35"</f>
        <v>8/35</v>
      </c>
      <c r="F121" s="349" t="s">
        <v>549</v>
      </c>
      <c r="G121" s="211" t="str">
        <f>IFERROR(VLOOKUP(F121,[2]Реестр!A:K,2,0),"")</f>
        <v/>
      </c>
      <c r="H121" s="206">
        <v>200</v>
      </c>
      <c r="I121" s="451"/>
      <c r="K121" s="208"/>
    </row>
    <row r="122" spans="1:11" ht="18.75" hidden="1" x14ac:dyDescent="0.3">
      <c r="A122" s="263">
        <v>0.14000000000000001</v>
      </c>
      <c r="B122" s="263">
        <v>0.1</v>
      </c>
      <c r="C122" s="263">
        <v>1.5</v>
      </c>
      <c r="D122" s="263">
        <v>83.962620000000015</v>
      </c>
      <c r="E122" s="349" t="str">
        <f>"11/1"</f>
        <v>11/1</v>
      </c>
      <c r="F122" s="349" t="s">
        <v>317</v>
      </c>
      <c r="G122" s="211">
        <f>IFERROR(VLOOKUP(F122,[2]Реестр!A:K,2,0),"")</f>
        <v>200</v>
      </c>
      <c r="H122" s="206">
        <v>200</v>
      </c>
      <c r="I122" s="451"/>
      <c r="K122" s="208"/>
    </row>
    <row r="123" spans="1:11" ht="18.75" hidden="1" x14ac:dyDescent="0.3">
      <c r="A123" s="209">
        <v>2.64</v>
      </c>
      <c r="B123" s="209">
        <v>0.24</v>
      </c>
      <c r="C123" s="209">
        <v>18.72</v>
      </c>
      <c r="D123" s="209">
        <v>89.6</v>
      </c>
      <c r="E123" s="210" t="s">
        <v>471</v>
      </c>
      <c r="F123" s="217" t="s">
        <v>66</v>
      </c>
      <c r="G123" s="211" t="str">
        <f>IFERROR(VLOOKUP(F123,[2]Реестр!A:K,2,0),"")</f>
        <v>100</v>
      </c>
      <c r="H123" s="206">
        <v>40</v>
      </c>
      <c r="I123" s="451"/>
      <c r="K123" s="208"/>
    </row>
    <row r="124" spans="1:11" ht="18.75" hidden="1" x14ac:dyDescent="0.3">
      <c r="A124" s="209">
        <v>2.64</v>
      </c>
      <c r="B124" s="209">
        <v>0.48</v>
      </c>
      <c r="C124" s="209">
        <v>13.36</v>
      </c>
      <c r="D124" s="209">
        <v>77.2</v>
      </c>
      <c r="E124" s="210" t="s">
        <v>471</v>
      </c>
      <c r="F124" s="217" t="s">
        <v>65</v>
      </c>
      <c r="G124" s="211" t="str">
        <f>IFERROR(VLOOKUP(F124,[2]Реестр!A:K,2,0),"")</f>
        <v>100</v>
      </c>
      <c r="H124" s="206">
        <v>40</v>
      </c>
      <c r="I124" s="451"/>
      <c r="K124" s="208"/>
    </row>
    <row r="125" spans="1:11" ht="18.75" hidden="1" x14ac:dyDescent="0.25">
      <c r="A125" s="246"/>
      <c r="B125" s="246"/>
      <c r="C125" s="246"/>
      <c r="D125" s="246"/>
      <c r="E125" s="247"/>
      <c r="F125" s="204"/>
      <c r="G125" s="199"/>
      <c r="H125" s="246"/>
      <c r="I125" s="451"/>
      <c r="K125" s="208"/>
    </row>
    <row r="126" spans="1:11" ht="18.75" hidden="1" x14ac:dyDescent="0.3">
      <c r="A126" s="464" t="s">
        <v>16</v>
      </c>
      <c r="B126" s="464"/>
      <c r="C126" s="464"/>
      <c r="D126" s="464"/>
      <c r="E126" s="464"/>
      <c r="F126" s="464"/>
      <c r="G126" s="205"/>
      <c r="H126" s="206"/>
      <c r="I126" s="207">
        <f>SUM(I119)</f>
        <v>224.27</v>
      </c>
      <c r="K126" s="208"/>
    </row>
    <row r="127" spans="1:11" ht="18.75" x14ac:dyDescent="0.25">
      <c r="A127" s="484" t="s">
        <v>689</v>
      </c>
      <c r="B127" s="485"/>
      <c r="C127" s="485"/>
      <c r="D127" s="485"/>
      <c r="E127" s="485"/>
      <c r="F127" s="485"/>
      <c r="G127" s="485"/>
      <c r="H127" s="485"/>
      <c r="I127" s="486"/>
      <c r="K127" s="208"/>
    </row>
    <row r="128" spans="1:11" ht="18.75" x14ac:dyDescent="0.3">
      <c r="A128" s="263">
        <v>4.1100000000000003</v>
      </c>
      <c r="B128" s="263">
        <v>4.7699999999999996</v>
      </c>
      <c r="C128" s="263">
        <v>26.5</v>
      </c>
      <c r="D128" s="263">
        <v>213.5</v>
      </c>
      <c r="E128" s="242" t="s">
        <v>711</v>
      </c>
      <c r="F128" s="242" t="s">
        <v>716</v>
      </c>
      <c r="G128" s="211" t="str">
        <f>IFERROR(VLOOKUP(F128,[2]Реестр!A:K,2,0),"")</f>
        <v/>
      </c>
      <c r="H128" s="206">
        <v>250</v>
      </c>
      <c r="I128" s="450">
        <v>185</v>
      </c>
      <c r="K128" s="208"/>
    </row>
    <row r="129" spans="1:11" ht="18.75" x14ac:dyDescent="0.3">
      <c r="A129" s="348">
        <v>17.5</v>
      </c>
      <c r="B129" s="348">
        <v>15.6</v>
      </c>
      <c r="C129" s="348">
        <v>42.3</v>
      </c>
      <c r="D129" s="348">
        <v>265.7</v>
      </c>
      <c r="E129" s="242" t="s">
        <v>712</v>
      </c>
      <c r="F129" s="242" t="s">
        <v>713</v>
      </c>
      <c r="G129" s="211" t="str">
        <f>IFERROR(VLOOKUP(F129,[2]Реестр!A:K,2,0),"")</f>
        <v/>
      </c>
      <c r="H129" s="206">
        <v>210</v>
      </c>
      <c r="I129" s="451"/>
      <c r="K129" s="208"/>
    </row>
    <row r="130" spans="1:11" ht="18.75" x14ac:dyDescent="0.3">
      <c r="A130" s="263">
        <v>3.94</v>
      </c>
      <c r="B130" s="263">
        <v>5.1100000000000003</v>
      </c>
      <c r="C130" s="263">
        <v>27.5</v>
      </c>
      <c r="D130" s="263">
        <v>170.19544859999999</v>
      </c>
      <c r="E130" s="242" t="s">
        <v>714</v>
      </c>
      <c r="F130" s="386" t="s">
        <v>328</v>
      </c>
      <c r="G130" s="211">
        <f>IFERROR(VLOOKUP(F130,[2]Реестр!A:K,2,0),"")</f>
        <v>200</v>
      </c>
      <c r="H130" s="206">
        <v>200</v>
      </c>
      <c r="I130" s="451"/>
      <c r="K130" s="208"/>
    </row>
    <row r="131" spans="1:11" ht="18.75" x14ac:dyDescent="0.3">
      <c r="A131" s="264">
        <v>0.14000000000000001</v>
      </c>
      <c r="B131" s="264">
        <v>0.1</v>
      </c>
      <c r="C131" s="264">
        <v>1.5</v>
      </c>
      <c r="D131" s="264">
        <v>83.962620000000015</v>
      </c>
      <c r="E131" s="242" t="s">
        <v>471</v>
      </c>
      <c r="F131" s="242" t="s">
        <v>715</v>
      </c>
      <c r="G131" s="211" t="str">
        <f>IFERROR(VLOOKUP(F131,[2]Реестр!A:K,2,0),"")</f>
        <v/>
      </c>
      <c r="H131" s="206">
        <v>25</v>
      </c>
      <c r="I131" s="451"/>
      <c r="K131" s="208"/>
    </row>
    <row r="132" spans="1:11" ht="18.75" x14ac:dyDescent="0.3">
      <c r="A132" s="419">
        <v>2.97</v>
      </c>
      <c r="B132" s="419">
        <v>0.54</v>
      </c>
      <c r="C132" s="419">
        <v>15.03</v>
      </c>
      <c r="D132" s="419">
        <v>86.85</v>
      </c>
      <c r="E132" s="420" t="s">
        <v>471</v>
      </c>
      <c r="F132" s="424" t="s">
        <v>65</v>
      </c>
      <c r="G132" s="211" t="str">
        <f>IFERROR(VLOOKUP(F132,[2]Реестр!A:K,2,0),"")</f>
        <v>100</v>
      </c>
      <c r="H132" s="206">
        <v>20</v>
      </c>
      <c r="I132" s="452"/>
      <c r="K132" s="208"/>
    </row>
    <row r="133" spans="1:11" ht="18.75" hidden="1" x14ac:dyDescent="0.3">
      <c r="A133" s="219"/>
      <c r="B133" s="219"/>
      <c r="C133" s="219"/>
      <c r="D133" s="219"/>
      <c r="E133" s="210"/>
      <c r="F133" s="398"/>
      <c r="G133" s="220"/>
      <c r="H133" s="221"/>
      <c r="I133" s="399"/>
      <c r="K133" s="208"/>
    </row>
    <row r="134" spans="1:11" ht="18.75" hidden="1" x14ac:dyDescent="0.3">
      <c r="A134" s="219"/>
      <c r="B134" s="219"/>
      <c r="C134" s="219"/>
      <c r="D134" s="219"/>
      <c r="E134" s="210"/>
      <c r="F134" s="398"/>
      <c r="G134" s="220"/>
      <c r="H134" s="221"/>
      <c r="I134" s="399"/>
      <c r="K134" s="208"/>
    </row>
    <row r="135" spans="1:11" ht="18.75" x14ac:dyDescent="0.3">
      <c r="A135" s="464" t="s">
        <v>16</v>
      </c>
      <c r="B135" s="464"/>
      <c r="C135" s="464"/>
      <c r="D135" s="464"/>
      <c r="E135" s="464"/>
      <c r="F135" s="464"/>
      <c r="G135" s="205"/>
      <c r="H135" s="206"/>
      <c r="I135" s="207">
        <f>SUM(I128:I134)</f>
        <v>185</v>
      </c>
      <c r="J135" s="215">
        <v>188</v>
      </c>
      <c r="K135" s="208"/>
    </row>
    <row r="136" spans="1:11" ht="18.75" x14ac:dyDescent="0.25">
      <c r="A136" s="484" t="s">
        <v>690</v>
      </c>
      <c r="B136" s="485"/>
      <c r="C136" s="485"/>
      <c r="D136" s="485"/>
      <c r="E136" s="485"/>
      <c r="F136" s="485"/>
      <c r="G136" s="485"/>
      <c r="H136" s="485"/>
      <c r="I136" s="486"/>
      <c r="K136" s="208"/>
    </row>
    <row r="137" spans="1:11" ht="18.75" x14ac:dyDescent="0.3">
      <c r="A137" s="348">
        <v>17.5</v>
      </c>
      <c r="B137" s="348">
        <v>15.6</v>
      </c>
      <c r="C137" s="348">
        <v>42.3</v>
      </c>
      <c r="D137" s="348">
        <v>265.7</v>
      </c>
      <c r="E137" s="242" t="s">
        <v>712</v>
      </c>
      <c r="F137" s="242" t="s">
        <v>713</v>
      </c>
      <c r="G137" s="211" t="str">
        <f>IFERROR(VLOOKUP(F137,[2]Реестр!A:K,2,0),"")</f>
        <v/>
      </c>
      <c r="H137" s="206">
        <v>210</v>
      </c>
      <c r="I137" s="532">
        <v>185</v>
      </c>
      <c r="K137" s="208"/>
    </row>
    <row r="138" spans="1:11" ht="18.75" x14ac:dyDescent="0.3">
      <c r="A138" s="263">
        <v>3.94</v>
      </c>
      <c r="B138" s="263">
        <v>5.1100000000000003</v>
      </c>
      <c r="C138" s="263">
        <v>27.5</v>
      </c>
      <c r="D138" s="263">
        <v>170.19544859999999</v>
      </c>
      <c r="E138" s="242" t="s">
        <v>714</v>
      </c>
      <c r="F138" s="386" t="s">
        <v>328</v>
      </c>
      <c r="G138" s="211">
        <f>IFERROR(VLOOKUP(F138,[2]Реестр!A:K,2,0),"")</f>
        <v>200</v>
      </c>
      <c r="H138" s="206">
        <v>200</v>
      </c>
      <c r="I138" s="533"/>
      <c r="K138" s="208"/>
    </row>
    <row r="139" spans="1:11" ht="18.75" x14ac:dyDescent="0.3">
      <c r="A139" s="264">
        <v>0.14000000000000001</v>
      </c>
      <c r="B139" s="264">
        <v>0.1</v>
      </c>
      <c r="C139" s="264">
        <v>1.5</v>
      </c>
      <c r="D139" s="264">
        <v>83.962620000000015</v>
      </c>
      <c r="E139" s="242" t="s">
        <v>471</v>
      </c>
      <c r="F139" s="242" t="s">
        <v>715</v>
      </c>
      <c r="G139" s="211" t="str">
        <f>IFERROR(VLOOKUP(F139,[2]Реестр!A:K,2,0),"")</f>
        <v/>
      </c>
      <c r="H139" s="206">
        <v>25</v>
      </c>
      <c r="I139" s="533"/>
      <c r="K139" s="208"/>
    </row>
    <row r="140" spans="1:11" ht="18.75" x14ac:dyDescent="0.3">
      <c r="A140" s="419">
        <v>2.97</v>
      </c>
      <c r="B140" s="419">
        <v>0.54</v>
      </c>
      <c r="C140" s="419">
        <v>15.03</v>
      </c>
      <c r="D140" s="419">
        <v>86.85</v>
      </c>
      <c r="E140" s="420" t="s">
        <v>471</v>
      </c>
      <c r="F140" s="424" t="s">
        <v>65</v>
      </c>
      <c r="G140" s="211" t="str">
        <f>IFERROR(VLOOKUP(F140,[2]Реестр!A:K,2,0),"")</f>
        <v>100</v>
      </c>
      <c r="H140" s="206">
        <v>20</v>
      </c>
      <c r="I140" s="533"/>
      <c r="K140" s="208"/>
    </row>
    <row r="141" spans="1:11" ht="18.75" x14ac:dyDescent="0.3">
      <c r="A141" s="219">
        <v>7.7</v>
      </c>
      <c r="B141" s="219">
        <v>7.42</v>
      </c>
      <c r="C141" s="219">
        <v>32.090000000000003</v>
      </c>
      <c r="D141" s="219">
        <v>225.88</v>
      </c>
      <c r="E141" s="416" t="s">
        <v>408</v>
      </c>
      <c r="F141" s="406" t="s">
        <v>529</v>
      </c>
      <c r="G141" s="211">
        <f>IFERROR(VLOOKUP(F141,[2]Реестр!A:K,2,0),"")</f>
        <v>100</v>
      </c>
      <c r="H141" s="206">
        <v>80</v>
      </c>
      <c r="I141" s="534"/>
      <c r="K141" s="208"/>
    </row>
    <row r="142" spans="1:11" ht="18.75" x14ac:dyDescent="0.3">
      <c r="A142" s="219"/>
      <c r="B142" s="219"/>
      <c r="C142" s="219"/>
      <c r="D142" s="219"/>
      <c r="E142" s="210"/>
      <c r="F142" s="398"/>
      <c r="G142" s="220"/>
      <c r="H142" s="221"/>
      <c r="I142" s="399"/>
      <c r="K142" s="208"/>
    </row>
    <row r="143" spans="1:11" ht="18.75" x14ac:dyDescent="0.3">
      <c r="A143" s="219"/>
      <c r="B143" s="219"/>
      <c r="C143" s="219"/>
      <c r="D143" s="219"/>
      <c r="E143" s="210"/>
      <c r="F143" s="398"/>
      <c r="G143" s="220"/>
      <c r="H143" s="221"/>
      <c r="I143" s="399"/>
      <c r="K143" s="208"/>
    </row>
    <row r="144" spans="1:11" ht="18.75" x14ac:dyDescent="0.3">
      <c r="A144" s="464" t="s">
        <v>16</v>
      </c>
      <c r="B144" s="464"/>
      <c r="C144" s="464"/>
      <c r="D144" s="464"/>
      <c r="E144" s="464"/>
      <c r="F144" s="464"/>
      <c r="G144" s="205"/>
      <c r="H144" s="206"/>
      <c r="I144" s="207">
        <f>SUM(I137:I143)</f>
        <v>185</v>
      </c>
      <c r="K144" s="208"/>
    </row>
    <row r="145" spans="1:11" ht="18.75" x14ac:dyDescent="0.3">
      <c r="A145" s="481" t="s">
        <v>677</v>
      </c>
      <c r="B145" s="482"/>
      <c r="C145" s="482"/>
      <c r="D145" s="482"/>
      <c r="E145" s="482"/>
      <c r="F145" s="482"/>
      <c r="G145" s="482"/>
      <c r="H145" s="482"/>
      <c r="I145" s="483"/>
      <c r="K145" s="208"/>
    </row>
    <row r="146" spans="1:11" ht="18.75" x14ac:dyDescent="0.3">
      <c r="A146" s="263">
        <v>5.55</v>
      </c>
      <c r="B146" s="263">
        <v>7.8</v>
      </c>
      <c r="C146" s="263">
        <v>15.95</v>
      </c>
      <c r="D146" s="263">
        <v>199.78905478333331</v>
      </c>
      <c r="E146" s="242" t="s">
        <v>711</v>
      </c>
      <c r="F146" s="242" t="s">
        <v>716</v>
      </c>
      <c r="G146" s="206">
        <v>200</v>
      </c>
      <c r="H146" s="206">
        <v>200</v>
      </c>
      <c r="I146" s="450">
        <v>130.88</v>
      </c>
      <c r="K146" s="208"/>
    </row>
    <row r="147" spans="1:11" ht="18.75" x14ac:dyDescent="0.3">
      <c r="A147" s="263">
        <v>16.579999999999998</v>
      </c>
      <c r="B147" s="263">
        <v>19.5</v>
      </c>
      <c r="C147" s="263">
        <v>68.38</v>
      </c>
      <c r="D147" s="263">
        <v>327.07</v>
      </c>
      <c r="E147" s="242" t="s">
        <v>712</v>
      </c>
      <c r="F147" s="242" t="s">
        <v>713</v>
      </c>
      <c r="G147" s="206">
        <v>200</v>
      </c>
      <c r="H147" s="206">
        <v>200</v>
      </c>
      <c r="I147" s="451"/>
      <c r="K147" s="208"/>
    </row>
    <row r="148" spans="1:11" ht="18.75" x14ac:dyDescent="0.3">
      <c r="A148" s="263">
        <v>0.14000000000000001</v>
      </c>
      <c r="B148" s="263">
        <v>0.1</v>
      </c>
      <c r="C148" s="263">
        <v>1.5</v>
      </c>
      <c r="D148" s="263">
        <v>83.962620000000015</v>
      </c>
      <c r="E148" s="242" t="s">
        <v>714</v>
      </c>
      <c r="F148" s="242" t="s">
        <v>328</v>
      </c>
      <c r="G148" s="206">
        <v>200</v>
      </c>
      <c r="H148" s="206">
        <v>200</v>
      </c>
      <c r="I148" s="451"/>
      <c r="K148" s="208"/>
    </row>
    <row r="149" spans="1:11" ht="18.75" x14ac:dyDescent="0.3">
      <c r="A149" s="209">
        <v>2.64</v>
      </c>
      <c r="B149" s="209">
        <v>0.24</v>
      </c>
      <c r="C149" s="209">
        <v>18.72</v>
      </c>
      <c r="D149" s="209">
        <v>89.6</v>
      </c>
      <c r="E149" s="405" t="s">
        <v>471</v>
      </c>
      <c r="F149" s="408" t="s">
        <v>66</v>
      </c>
      <c r="G149" s="206">
        <v>40</v>
      </c>
      <c r="H149" s="206">
        <v>40</v>
      </c>
      <c r="I149" s="451"/>
      <c r="K149" s="208"/>
    </row>
    <row r="150" spans="1:11" ht="18.75" x14ac:dyDescent="0.3">
      <c r="A150" s="209">
        <v>2.64</v>
      </c>
      <c r="B150" s="209">
        <v>0.48</v>
      </c>
      <c r="C150" s="209">
        <v>13.36</v>
      </c>
      <c r="D150" s="209">
        <v>77.2</v>
      </c>
      <c r="E150" s="405" t="s">
        <v>471</v>
      </c>
      <c r="F150" s="408" t="s">
        <v>65</v>
      </c>
      <c r="G150" s="206">
        <v>40</v>
      </c>
      <c r="H150" s="206">
        <v>40</v>
      </c>
      <c r="I150" s="452"/>
      <c r="K150" s="208"/>
    </row>
    <row r="151" spans="1:11" ht="18.75" x14ac:dyDescent="0.3">
      <c r="A151" s="453" t="s">
        <v>16</v>
      </c>
      <c r="B151" s="454"/>
      <c r="C151" s="454"/>
      <c r="D151" s="454"/>
      <c r="E151" s="454"/>
      <c r="F151" s="455"/>
      <c r="G151" s="205"/>
      <c r="H151" s="206"/>
      <c r="I151" s="207">
        <f>SUM(I146:I150)</f>
        <v>130.88</v>
      </c>
      <c r="K151" s="208"/>
    </row>
    <row r="152" spans="1:11" ht="18.75" x14ac:dyDescent="0.3">
      <c r="A152" s="462" t="s">
        <v>600</v>
      </c>
      <c r="B152" s="462"/>
      <c r="C152" s="462"/>
      <c r="D152" s="462"/>
      <c r="E152" s="462"/>
      <c r="F152" s="462"/>
      <c r="G152" s="462"/>
      <c r="H152" s="462"/>
      <c r="I152" s="462"/>
      <c r="K152" s="208"/>
    </row>
    <row r="153" spans="1:11" ht="18.75" x14ac:dyDescent="0.25">
      <c r="A153" s="243">
        <v>3.76</v>
      </c>
      <c r="B153" s="243">
        <v>3.05</v>
      </c>
      <c r="C153" s="243">
        <v>13.8</v>
      </c>
      <c r="D153" s="243">
        <v>93.762559999999993</v>
      </c>
      <c r="E153" s="242" t="s">
        <v>732</v>
      </c>
      <c r="F153" s="387" t="s">
        <v>706</v>
      </c>
      <c r="G153" s="211" t="str">
        <f>IFERROR(VLOOKUP(F153,[2]Реестр!A:K,2,0),"")</f>
        <v/>
      </c>
      <c r="H153" s="391">
        <v>30</v>
      </c>
      <c r="I153" s="450">
        <v>176.94</v>
      </c>
      <c r="K153" s="208"/>
    </row>
    <row r="154" spans="1:11" ht="18.75" x14ac:dyDescent="0.25">
      <c r="A154" s="243">
        <v>13.79</v>
      </c>
      <c r="B154" s="243">
        <v>20.23</v>
      </c>
      <c r="C154" s="243">
        <v>3.57</v>
      </c>
      <c r="D154" s="243">
        <v>251.02964924999998</v>
      </c>
      <c r="E154" s="242" t="s">
        <v>733</v>
      </c>
      <c r="F154" s="387" t="s">
        <v>705</v>
      </c>
      <c r="G154" s="211" t="str">
        <f>IFERROR(VLOOKUP(F154,[2]Реестр!A:K,2,0),"")</f>
        <v/>
      </c>
      <c r="H154" s="391">
        <v>200</v>
      </c>
      <c r="I154" s="451"/>
      <c r="K154" s="208"/>
    </row>
    <row r="155" spans="1:11" ht="18.75" x14ac:dyDescent="0.25">
      <c r="A155" s="243">
        <v>0.18</v>
      </c>
      <c r="B155" s="243">
        <v>0.04</v>
      </c>
      <c r="C155" s="243">
        <v>13.75</v>
      </c>
      <c r="D155" s="243">
        <v>53.136642799999997</v>
      </c>
      <c r="E155" s="242" t="s">
        <v>734</v>
      </c>
      <c r="F155" s="387" t="s">
        <v>632</v>
      </c>
      <c r="G155" s="211" t="str">
        <f>IFERROR(VLOOKUP(F155,[2]Реестр!A:K,2,0),"")</f>
        <v/>
      </c>
      <c r="H155" s="391">
        <v>200</v>
      </c>
      <c r="I155" s="451"/>
      <c r="K155" s="208"/>
    </row>
    <row r="156" spans="1:11" ht="18.75" x14ac:dyDescent="0.25">
      <c r="A156" s="241">
        <v>1.32</v>
      </c>
      <c r="B156" s="241">
        <v>0.24</v>
      </c>
      <c r="C156" s="241">
        <v>8.34</v>
      </c>
      <c r="D156" s="241">
        <v>38.676000000000002</v>
      </c>
      <c r="E156" s="381" t="str">
        <f>"-"</f>
        <v>-</v>
      </c>
      <c r="F156" s="381" t="s">
        <v>707</v>
      </c>
      <c r="G156" s="211" t="str">
        <f>IFERROR(VLOOKUP(F156,[2]Реестр!A:K,2,0),"")</f>
        <v/>
      </c>
      <c r="H156" s="391">
        <v>30</v>
      </c>
      <c r="I156" s="451"/>
      <c r="K156" s="208"/>
    </row>
    <row r="157" spans="1:11" ht="18.75" x14ac:dyDescent="0.25">
      <c r="A157" s="241">
        <v>1.32</v>
      </c>
      <c r="B157" s="241">
        <v>0.24</v>
      </c>
      <c r="C157" s="241">
        <v>0</v>
      </c>
      <c r="D157" s="241">
        <v>38.676000000000002</v>
      </c>
      <c r="E157" s="381" t="s">
        <v>471</v>
      </c>
      <c r="F157" s="381" t="s">
        <v>708</v>
      </c>
      <c r="G157" s="211" t="str">
        <f>IFERROR(VLOOKUP(F157,[2]Реестр!A:K,2,0),"")</f>
        <v/>
      </c>
      <c r="H157" s="392">
        <v>130</v>
      </c>
      <c r="I157" s="452"/>
      <c r="K157" s="208"/>
    </row>
    <row r="158" spans="1:11" ht="18.75" x14ac:dyDescent="0.3">
      <c r="A158" s="464" t="s">
        <v>16</v>
      </c>
      <c r="B158" s="464"/>
      <c r="C158" s="464"/>
      <c r="D158" s="464"/>
      <c r="E158" s="464"/>
      <c r="F158" s="464"/>
      <c r="G158" s="205"/>
      <c r="H158" s="206"/>
      <c r="I158" s="207">
        <f>SUM(I153:I157)</f>
        <v>176.94</v>
      </c>
      <c r="K158" s="208"/>
    </row>
    <row r="159" spans="1:11" ht="18.75" x14ac:dyDescent="0.3">
      <c r="A159" s="462" t="s">
        <v>623</v>
      </c>
      <c r="B159" s="462"/>
      <c r="C159" s="462"/>
      <c r="D159" s="462"/>
      <c r="E159" s="462"/>
      <c r="F159" s="462"/>
      <c r="G159" s="462"/>
      <c r="H159" s="462"/>
      <c r="I159" s="462"/>
      <c r="K159" s="208"/>
    </row>
    <row r="160" spans="1:11" ht="30" x14ac:dyDescent="0.25">
      <c r="A160" s="417">
        <v>0.7</v>
      </c>
      <c r="B160" s="243">
        <v>4.8099999999999996</v>
      </c>
      <c r="C160" s="243">
        <v>1.6</v>
      </c>
      <c r="D160" s="243">
        <v>57.718236800000007</v>
      </c>
      <c r="E160" s="242" t="str">
        <f>"7/13/1"</f>
        <v>7/13/1</v>
      </c>
      <c r="F160" s="242" t="s">
        <v>736</v>
      </c>
      <c r="G160" s="211" t="str">
        <f>IFERROR(VLOOKUP(F160,[2]Реестр!A:K,2,0),"")</f>
        <v/>
      </c>
      <c r="H160" s="263" t="s">
        <v>81</v>
      </c>
      <c r="I160" s="450">
        <v>265.39999999999998</v>
      </c>
      <c r="K160" s="208"/>
    </row>
    <row r="161" spans="1:11" ht="18.75" x14ac:dyDescent="0.25">
      <c r="A161" s="263">
        <v>4.1100000000000003</v>
      </c>
      <c r="B161" s="263">
        <v>4.7699999999999996</v>
      </c>
      <c r="C161" s="263">
        <v>39.56</v>
      </c>
      <c r="D161" s="263">
        <v>235.36</v>
      </c>
      <c r="E161" s="242" t="s">
        <v>711</v>
      </c>
      <c r="F161" s="242" t="s">
        <v>737</v>
      </c>
      <c r="G161" s="211" t="str">
        <f>IFERROR(VLOOKUP(F161,[2]Реестр!A:K,2,0),"")</f>
        <v/>
      </c>
      <c r="H161" s="243" t="str">
        <f>"250"</f>
        <v>250</v>
      </c>
      <c r="I161" s="451"/>
      <c r="K161" s="208"/>
    </row>
    <row r="162" spans="1:11" ht="18.75" x14ac:dyDescent="0.25">
      <c r="A162" s="263">
        <v>15.55</v>
      </c>
      <c r="B162" s="263">
        <v>15.9</v>
      </c>
      <c r="C162" s="263">
        <v>90.5</v>
      </c>
      <c r="D162" s="263">
        <v>408.6</v>
      </c>
      <c r="E162" s="242" t="s">
        <v>712</v>
      </c>
      <c r="F162" s="242" t="s">
        <v>713</v>
      </c>
      <c r="G162" s="211"/>
      <c r="H162" s="266">
        <v>200</v>
      </c>
      <c r="I162" s="451"/>
      <c r="K162" s="208"/>
    </row>
    <row r="163" spans="1:11" ht="18.75" x14ac:dyDescent="0.25">
      <c r="A163" s="263">
        <v>0.18</v>
      </c>
      <c r="B163" s="263">
        <v>0.05</v>
      </c>
      <c r="C163" s="263">
        <v>9.6300000000000008</v>
      </c>
      <c r="D163" s="263">
        <v>37.582527999999996</v>
      </c>
      <c r="E163" s="242" t="s">
        <v>738</v>
      </c>
      <c r="F163" s="242" t="s">
        <v>739</v>
      </c>
      <c r="G163" s="211"/>
      <c r="H163" s="263" t="s">
        <v>118</v>
      </c>
      <c r="I163" s="451"/>
      <c r="K163" s="208"/>
    </row>
    <row r="164" spans="1:11" ht="18.75" x14ac:dyDescent="0.25">
      <c r="A164" s="241">
        <v>3.3</v>
      </c>
      <c r="B164" s="241">
        <v>0.6</v>
      </c>
      <c r="C164" s="241">
        <v>20.85</v>
      </c>
      <c r="D164" s="241">
        <v>96.69</v>
      </c>
      <c r="E164" s="242" t="str">
        <f>"-"</f>
        <v>-</v>
      </c>
      <c r="F164" s="242" t="s">
        <v>715</v>
      </c>
      <c r="G164" s="211"/>
      <c r="H164" s="264" t="str">
        <f>"40"</f>
        <v>40</v>
      </c>
      <c r="I164" s="451"/>
      <c r="K164" s="208"/>
    </row>
    <row r="165" spans="1:11" ht="18.75" x14ac:dyDescent="0.25">
      <c r="A165" s="264">
        <v>2.64</v>
      </c>
      <c r="B165" s="264">
        <v>0.48</v>
      </c>
      <c r="C165" s="264">
        <v>16.68</v>
      </c>
      <c r="D165" s="264">
        <v>77.352000000000004</v>
      </c>
      <c r="E165" s="381" t="str">
        <f>"-"</f>
        <v>-</v>
      </c>
      <c r="F165" s="381" t="s">
        <v>707</v>
      </c>
      <c r="G165" s="211" t="str">
        <f>IFERROR(VLOOKUP(F165,[2]Реестр!A:K,2,0),"")</f>
        <v/>
      </c>
      <c r="H165" s="264" t="str">
        <f>"40"</f>
        <v>40</v>
      </c>
      <c r="I165" s="451"/>
      <c r="K165" s="208"/>
    </row>
    <row r="166" spans="1:11" ht="18.75" x14ac:dyDescent="0.3">
      <c r="A166" s="104"/>
      <c r="B166" s="104"/>
      <c r="C166" s="104"/>
      <c r="D166" s="104"/>
      <c r="E166" s="218"/>
      <c r="F166" s="122"/>
      <c r="G166" s="94"/>
      <c r="H166" s="97"/>
      <c r="I166" s="452"/>
      <c r="K166" s="208"/>
    </row>
    <row r="167" spans="1:11" ht="18.75" x14ac:dyDescent="0.3">
      <c r="A167" s="464" t="s">
        <v>16</v>
      </c>
      <c r="B167" s="464"/>
      <c r="C167" s="464"/>
      <c r="D167" s="464"/>
      <c r="E167" s="464"/>
      <c r="F167" s="464"/>
      <c r="G167" s="205"/>
      <c r="H167" s="206"/>
      <c r="I167" s="207">
        <f>SUM(I160:I166)</f>
        <v>265.39999999999998</v>
      </c>
      <c r="K167" s="208"/>
    </row>
    <row r="168" spans="1:11" ht="18.75" x14ac:dyDescent="0.3">
      <c r="A168" s="462" t="s">
        <v>601</v>
      </c>
      <c r="B168" s="462"/>
      <c r="C168" s="462"/>
      <c r="D168" s="462"/>
      <c r="E168" s="462"/>
      <c r="F168" s="462"/>
      <c r="G168" s="462"/>
      <c r="H168" s="462"/>
      <c r="I168" s="462"/>
      <c r="K168" s="208"/>
    </row>
    <row r="169" spans="1:11" ht="30" x14ac:dyDescent="0.25">
      <c r="A169" s="243">
        <v>17.96</v>
      </c>
      <c r="B169" s="243">
        <v>19.649999999999999</v>
      </c>
      <c r="C169" s="243">
        <v>1.04</v>
      </c>
      <c r="D169" s="243">
        <v>252.59813800000001</v>
      </c>
      <c r="E169" s="242" t="s">
        <v>740</v>
      </c>
      <c r="F169" s="242" t="s">
        <v>741</v>
      </c>
      <c r="G169" s="211" t="str">
        <f>IFERROR(VLOOKUP(F169,[2]Реестр!A:K,2,0),"")</f>
        <v/>
      </c>
      <c r="H169" s="391">
        <v>200</v>
      </c>
      <c r="I169" s="450">
        <v>176.94</v>
      </c>
      <c r="K169" s="208"/>
    </row>
    <row r="170" spans="1:11" ht="18.75" x14ac:dyDescent="0.25">
      <c r="A170" s="243">
        <v>0.18</v>
      </c>
      <c r="B170" s="243">
        <v>0.04</v>
      </c>
      <c r="C170" s="243">
        <v>13.75</v>
      </c>
      <c r="D170" s="243">
        <v>53.136642799999997</v>
      </c>
      <c r="E170" s="242" t="s">
        <v>742</v>
      </c>
      <c r="F170" s="242" t="s">
        <v>499</v>
      </c>
      <c r="G170" s="211" t="str">
        <f>IFERROR(VLOOKUP(F170,[2]Реестр!A:K,2,0),"")</f>
        <v>200</v>
      </c>
      <c r="H170" s="243" t="s">
        <v>118</v>
      </c>
      <c r="I170" s="451"/>
      <c r="K170" s="208"/>
    </row>
    <row r="171" spans="1:11" ht="18.75" x14ac:dyDescent="0.25">
      <c r="A171" s="241">
        <v>0.52</v>
      </c>
      <c r="B171" s="241">
        <v>0.52</v>
      </c>
      <c r="C171" s="241">
        <v>15.08</v>
      </c>
      <c r="D171" s="241">
        <v>63.283999999999985</v>
      </c>
      <c r="E171" s="242" t="s">
        <v>471</v>
      </c>
      <c r="F171" s="242" t="s">
        <v>708</v>
      </c>
      <c r="G171" s="211" t="str">
        <f>IFERROR(VLOOKUP(F171,[2]Реестр!A:K,2,0),"")</f>
        <v/>
      </c>
      <c r="H171" s="264" t="s">
        <v>735</v>
      </c>
      <c r="I171" s="451"/>
      <c r="K171" s="208"/>
    </row>
    <row r="172" spans="1:11" ht="18.75" x14ac:dyDescent="0.25">
      <c r="A172" s="241">
        <v>2.64</v>
      </c>
      <c r="B172" s="241">
        <v>0.48</v>
      </c>
      <c r="C172" s="241">
        <v>16.68</v>
      </c>
      <c r="D172" s="241">
        <v>77.352000000000004</v>
      </c>
      <c r="E172" s="242" t="s">
        <v>471</v>
      </c>
      <c r="F172" s="242" t="s">
        <v>715</v>
      </c>
      <c r="G172" s="211" t="str">
        <f>IFERROR(VLOOKUP(F172,[2]Реестр!A:K,2,0),"")</f>
        <v/>
      </c>
      <c r="H172" s="392">
        <v>40</v>
      </c>
      <c r="I172" s="451"/>
      <c r="K172" s="208"/>
    </row>
    <row r="173" spans="1:11" ht="18.75" x14ac:dyDescent="0.25">
      <c r="A173" s="241">
        <v>1.32</v>
      </c>
      <c r="B173" s="241">
        <v>0.24</v>
      </c>
      <c r="C173" s="241">
        <v>8.34</v>
      </c>
      <c r="D173" s="241">
        <v>38.676000000000002</v>
      </c>
      <c r="E173" s="381" t="str">
        <f>"-"</f>
        <v>-</v>
      </c>
      <c r="F173" s="381" t="s">
        <v>707</v>
      </c>
      <c r="G173" s="211" t="str">
        <f>IFERROR(VLOOKUP(F173,[2]Реестр!A:K,2,0),"")</f>
        <v/>
      </c>
      <c r="H173" s="264" t="str">
        <f>"20"</f>
        <v>20</v>
      </c>
      <c r="I173" s="451"/>
      <c r="K173" s="208"/>
    </row>
    <row r="174" spans="1:11" ht="18.75" hidden="1" x14ac:dyDescent="0.3">
      <c r="A174" s="264"/>
      <c r="B174" s="264"/>
      <c r="C174" s="264"/>
      <c r="D174" s="264"/>
      <c r="E174" s="381"/>
      <c r="F174" s="381"/>
      <c r="G174" s="392"/>
      <c r="H174" s="206"/>
      <c r="I174" s="452"/>
      <c r="K174" s="208"/>
    </row>
    <row r="175" spans="1:11" ht="18.75" x14ac:dyDescent="0.3">
      <c r="A175" s="464" t="s">
        <v>16</v>
      </c>
      <c r="B175" s="464"/>
      <c r="C175" s="464"/>
      <c r="D175" s="464"/>
      <c r="E175" s="464"/>
      <c r="F175" s="464"/>
      <c r="G175" s="205"/>
      <c r="H175" s="206"/>
      <c r="I175" s="207">
        <f>SUM(I169:I174)</f>
        <v>176.94</v>
      </c>
      <c r="K175" s="208"/>
    </row>
    <row r="176" spans="1:11" ht="18.75" x14ac:dyDescent="0.3">
      <c r="A176" s="462" t="s">
        <v>684</v>
      </c>
      <c r="B176" s="462"/>
      <c r="C176" s="462"/>
      <c r="D176" s="462"/>
      <c r="E176" s="462"/>
      <c r="F176" s="462"/>
      <c r="G176" s="462"/>
      <c r="H176" s="462"/>
      <c r="I176" s="462"/>
      <c r="K176" s="208"/>
    </row>
    <row r="177" spans="1:11" ht="30" x14ac:dyDescent="0.25">
      <c r="A177" s="417">
        <v>1.33</v>
      </c>
      <c r="B177" s="243">
        <v>5.12</v>
      </c>
      <c r="C177" s="243">
        <v>7.75</v>
      </c>
      <c r="D177" s="243">
        <v>73.52</v>
      </c>
      <c r="E177" s="242" t="s">
        <v>709</v>
      </c>
      <c r="F177" s="242" t="s">
        <v>710</v>
      </c>
      <c r="G177" s="211" t="str">
        <f>IFERROR(VLOOKUP(F177,[2]Реестр!A:K,2,0),"")</f>
        <v/>
      </c>
      <c r="H177" s="210">
        <v>100</v>
      </c>
      <c r="I177" s="450">
        <v>265.39999999999998</v>
      </c>
      <c r="K177" s="208"/>
    </row>
    <row r="178" spans="1:11" ht="18.75" x14ac:dyDescent="0.3">
      <c r="A178" s="263">
        <v>4.1100000000000003</v>
      </c>
      <c r="B178" s="263">
        <v>4.7699999999999996</v>
      </c>
      <c r="C178" s="263">
        <v>59.23</v>
      </c>
      <c r="D178" s="263">
        <v>143.13</v>
      </c>
      <c r="E178" s="242" t="str">
        <f>"6/65-1"</f>
        <v>6/65-1</v>
      </c>
      <c r="F178" s="242" t="s">
        <v>731</v>
      </c>
      <c r="G178" s="94" t="str">
        <f>IFERROR(VLOOKUP(F178,[2]Реестр!A:K,2,0),"")</f>
        <v/>
      </c>
      <c r="H178" s="97">
        <v>250</v>
      </c>
      <c r="I178" s="451"/>
      <c r="K178" s="208"/>
    </row>
    <row r="179" spans="1:11" ht="18.75" x14ac:dyDescent="0.3">
      <c r="A179" s="263">
        <v>15.55</v>
      </c>
      <c r="B179" s="263">
        <v>15.9</v>
      </c>
      <c r="C179" s="263">
        <v>90.5</v>
      </c>
      <c r="D179" s="263">
        <v>408.6</v>
      </c>
      <c r="E179" s="242" t="s">
        <v>712</v>
      </c>
      <c r="F179" s="242" t="s">
        <v>713</v>
      </c>
      <c r="G179" s="94" t="str">
        <f>IFERROR(VLOOKUP(F179,[2]Реестр!A:K,2,0),"")</f>
        <v/>
      </c>
      <c r="H179" s="97">
        <v>250</v>
      </c>
      <c r="I179" s="451"/>
      <c r="K179" s="208"/>
    </row>
    <row r="180" spans="1:11" ht="18.75" x14ac:dyDescent="0.3">
      <c r="A180" s="263">
        <v>0.18</v>
      </c>
      <c r="B180" s="263">
        <v>0.05</v>
      </c>
      <c r="C180" s="263">
        <v>0.32</v>
      </c>
      <c r="D180" s="263">
        <v>37.582527999999996</v>
      </c>
      <c r="E180" s="242" t="s">
        <v>714</v>
      </c>
      <c r="F180" s="242" t="s">
        <v>328</v>
      </c>
      <c r="G180" s="94">
        <f>IFERROR(VLOOKUP(F180,[2]Реестр!A:K,2,0),"")</f>
        <v>200</v>
      </c>
      <c r="H180" s="97">
        <v>200</v>
      </c>
      <c r="I180" s="451"/>
      <c r="K180" s="208"/>
    </row>
    <row r="181" spans="1:11" ht="18.75" x14ac:dyDescent="0.3">
      <c r="A181" s="264">
        <v>2.64</v>
      </c>
      <c r="B181" s="264">
        <v>0.48</v>
      </c>
      <c r="C181" s="264">
        <v>16.68</v>
      </c>
      <c r="D181" s="264">
        <v>77.352000000000004</v>
      </c>
      <c r="E181" s="242" t="str">
        <f>"-"</f>
        <v>-</v>
      </c>
      <c r="F181" s="242" t="s">
        <v>715</v>
      </c>
      <c r="G181" s="94" t="str">
        <f>IFERROR(VLOOKUP(F181,[2]Реестр!A:K,2,0),"")</f>
        <v/>
      </c>
      <c r="H181" s="206">
        <v>50</v>
      </c>
      <c r="I181" s="451"/>
      <c r="K181" s="208"/>
    </row>
    <row r="182" spans="1:11" ht="18.75" x14ac:dyDescent="0.3">
      <c r="A182" s="264">
        <v>2.64</v>
      </c>
      <c r="B182" s="264">
        <v>0.48</v>
      </c>
      <c r="C182" s="264">
        <v>16.68</v>
      </c>
      <c r="D182" s="264">
        <v>77.352000000000004</v>
      </c>
      <c r="E182" s="381" t="str">
        <f>"-"</f>
        <v>-</v>
      </c>
      <c r="F182" s="381" t="s">
        <v>707</v>
      </c>
      <c r="G182" s="94" t="str">
        <f>IFERROR(VLOOKUP(F182,[2]Реестр!A:K,2,0),"")</f>
        <v/>
      </c>
      <c r="H182" s="206">
        <v>50</v>
      </c>
      <c r="I182" s="451"/>
      <c r="K182" s="208"/>
    </row>
    <row r="183" spans="1:11" ht="18.75" x14ac:dyDescent="0.3">
      <c r="A183" s="464" t="s">
        <v>16</v>
      </c>
      <c r="B183" s="464"/>
      <c r="C183" s="464"/>
      <c r="D183" s="464"/>
      <c r="E183" s="464"/>
      <c r="F183" s="464"/>
      <c r="G183" s="94"/>
      <c r="H183" s="97"/>
      <c r="I183" s="452"/>
      <c r="K183" s="208"/>
    </row>
    <row r="185" spans="1:11" s="215" customFormat="1" ht="18.75" x14ac:dyDescent="0.3">
      <c r="B185" s="252"/>
      <c r="C185" s="253"/>
      <c r="D185" s="253"/>
      <c r="E185" s="253"/>
      <c r="F185" s="254" t="s">
        <v>37</v>
      </c>
      <c r="G185" s="270"/>
      <c r="H185" s="257"/>
      <c r="I185" s="260"/>
      <c r="K185" s="202"/>
    </row>
    <row r="186" spans="1:11" s="215" customFormat="1" ht="18.75" x14ac:dyDescent="0.3">
      <c r="B186" s="252"/>
      <c r="C186" s="253"/>
      <c r="D186" s="253"/>
      <c r="E186" s="253"/>
      <c r="F186" s="254"/>
      <c r="G186" s="270"/>
      <c r="H186" s="418"/>
      <c r="I186" s="260"/>
      <c r="K186" s="202"/>
    </row>
    <row r="187" spans="1:11" x14ac:dyDescent="0.25">
      <c r="H187" s="414" t="s">
        <v>699</v>
      </c>
    </row>
  </sheetData>
  <autoFilter ref="A4:I93" xr:uid="{00000000-0009-0000-0000-000005000000}"/>
  <mergeCells count="71">
    <mergeCell ref="A22:I22"/>
    <mergeCell ref="A29:F29"/>
    <mergeCell ref="A30:I30"/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  <mergeCell ref="J4:J5"/>
    <mergeCell ref="A6:I6"/>
    <mergeCell ref="A12:F12"/>
    <mergeCell ref="A13:I13"/>
    <mergeCell ref="G4:G5"/>
    <mergeCell ref="H4:H5"/>
    <mergeCell ref="A38:F38"/>
    <mergeCell ref="A39:I3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A40:I40"/>
    <mergeCell ref="A118:I118"/>
    <mergeCell ref="A85:I85"/>
    <mergeCell ref="A93:F93"/>
    <mergeCell ref="A94:I94"/>
    <mergeCell ref="I95:I99"/>
    <mergeCell ref="A100:F100"/>
    <mergeCell ref="A101:I101"/>
    <mergeCell ref="I102:I107"/>
    <mergeCell ref="A108:F108"/>
    <mergeCell ref="A109:I109"/>
    <mergeCell ref="I110:I116"/>
    <mergeCell ref="A117:F117"/>
    <mergeCell ref="A151:F151"/>
    <mergeCell ref="A136:I136"/>
    <mergeCell ref="A144:F144"/>
    <mergeCell ref="I119:I125"/>
    <mergeCell ref="A126:F126"/>
    <mergeCell ref="A127:I127"/>
    <mergeCell ref="A135:F135"/>
    <mergeCell ref="A145:I145"/>
    <mergeCell ref="I146:I150"/>
    <mergeCell ref="I128:I132"/>
    <mergeCell ref="I137:I141"/>
    <mergeCell ref="A176:I176"/>
    <mergeCell ref="I177:I183"/>
    <mergeCell ref="A152:I152"/>
    <mergeCell ref="I153:I157"/>
    <mergeCell ref="A158:F158"/>
    <mergeCell ref="A159:I159"/>
    <mergeCell ref="I160:I166"/>
    <mergeCell ref="A167:F167"/>
    <mergeCell ref="A168:I168"/>
    <mergeCell ref="I169:I174"/>
    <mergeCell ref="A175:F175"/>
    <mergeCell ref="A183:F183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2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E8F70ED9-6861-4EF1-8BDF-A905487C2976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F114</xm:sqref>
        </x14:dataValidation>
        <x14:dataValidation type="list" allowBlank="1" showInputMessage="1" showErrorMessage="1" xr:uid="{1C2895B7-E4B6-41F5-AC78-225C35EF96A7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F88 F160 F146 F110 F119:F121 F83 F64 F73 F128 F86 F112 F14:F16 F47:F49 F32 F162 F177:F179</xm:sqref>
        </x14:dataValidation>
        <x14:dataValidation type="list" allowBlank="1" showInputMessage="1" showErrorMessage="1" xr:uid="{41D40C37-3C82-49BF-B2A9-C3C0EBAFEBE8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F20 F115 F53 F37 F92 F69 F125 F165:F166</xm:sqref>
        </x14:dataValidation>
        <x14:dataValidation type="list" allowBlank="1" showInputMessage="1" showErrorMessage="1" xr:uid="{5EE496B7-D7A5-4E4F-9327-A4DCF699830C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F7:F9 F17:F18 F149 F169:F171 F41:F43 F161 F74:F75 F102:F104 F122:F123 F116 F50:F51 F35 F89:F90 F95:F97 F107 F113 F111 F26 F57 F87 F67 F131 F139 F163 F153:F155 F180:F181</xm:sqref>
        </x14:dataValidation>
        <x14:dataValidation type="list" allowBlank="1" showInputMessage="1" showErrorMessage="1" xr:uid="{E92231C6-765B-4BCC-958B-D30C829FD5DC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F72 F133:F134 F80 F141:F143</xm:sqref>
        </x14:dataValidation>
        <x14:dataValidation type="list" allowBlank="1" showInputMessage="1" showErrorMessage="1" xr:uid="{634687A5-F530-4B1D-A754-45B2CCB2EDCC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F52 F124 F91 F98:F99 F76:F77 F10:F11 F19 F150 F27:F28 F44:F45 F60 F36 F105:F106 F172:F174 F132 F68 F140 F156:F157 F182</xm:sqref>
        </x14:dataValidation>
        <x14:dataValidation type="list" allowBlank="1" showInputMessage="1" showErrorMessage="1" xr:uid="{8FB600F2-3F26-4F38-9D7A-D39FA03F6DE4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F52 F124 F91 F60 F76:F77 F19 F150 F27:F28 F10:F11 F44:F45 F36 F98:F99 F105:F106 F172:F174 F132 F68 F156:F157 F140 F182</xm:sqref>
        </x14:dataValidation>
        <x14:dataValidation type="list" allowBlank="1" showInputMessage="1" showErrorMessage="1" xr:uid="{BA5571C9-F276-46C3-9CA5-8B664CCD4069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F164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17B16-6C8F-4F8B-962A-EA6532962CF4}">
  <sheetPr codeName="Лист39">
    <pageSetUpPr fitToPage="1"/>
  </sheetPr>
  <dimension ref="A1:L150"/>
  <sheetViews>
    <sheetView view="pageBreakPreview" zoomScaleNormal="100" zoomScaleSheetLayoutView="100" workbookViewId="0">
      <selection activeCell="F7" sqref="F7"/>
    </sheetView>
  </sheetViews>
  <sheetFormatPr defaultRowHeight="15.75" x14ac:dyDescent="0.25"/>
  <cols>
    <col min="1" max="1" width="11.28515625" style="215" customWidth="1"/>
    <col min="2" max="2" width="11.28515625" style="252" customWidth="1"/>
    <col min="3" max="3" width="10.5703125" style="253" customWidth="1"/>
    <col min="4" max="4" width="10.28515625" style="253" customWidth="1"/>
    <col min="5" max="5" width="14" style="253" customWidth="1"/>
    <col min="6" max="6" width="57.85546875" style="253" customWidth="1"/>
    <col min="7" max="7" width="17.85546875" style="253" hidden="1" customWidth="1"/>
    <col min="8" max="9" width="15.5703125" style="253" customWidth="1"/>
    <col min="10" max="10" width="25.5703125" style="215" customWidth="1"/>
    <col min="11" max="1025" width="8.7109375" style="202" customWidth="1"/>
    <col min="1026" max="16384" width="9.140625" style="202"/>
  </cols>
  <sheetData>
    <row r="1" spans="1:12" s="234" customFormat="1" ht="29.25" customHeight="1" x14ac:dyDescent="0.25">
      <c r="A1" s="468" t="s">
        <v>0</v>
      </c>
      <c r="B1" s="468"/>
      <c r="C1" s="235"/>
      <c r="D1" s="235"/>
      <c r="E1" s="235"/>
      <c r="F1" s="231" t="s">
        <v>1</v>
      </c>
      <c r="G1" s="231"/>
      <c r="H1" s="439" t="s">
        <v>0</v>
      </c>
      <c r="I1" s="439"/>
    </row>
    <row r="2" spans="1:12" s="234" customFormat="1" ht="29.25" customHeight="1" x14ac:dyDescent="0.25">
      <c r="A2" s="235" t="s">
        <v>2</v>
      </c>
      <c r="B2" s="235"/>
      <c r="C2" s="259"/>
      <c r="D2" s="259"/>
      <c r="E2" s="259"/>
      <c r="F2" s="231" t="s">
        <v>686</v>
      </c>
      <c r="G2" s="231"/>
      <c r="H2" s="535" t="s">
        <v>687</v>
      </c>
      <c r="I2" s="535"/>
      <c r="J2" s="235"/>
    </row>
    <row r="3" spans="1:12" s="234" customFormat="1" ht="29.25" customHeight="1" x14ac:dyDescent="0.25">
      <c r="A3" s="437" t="s">
        <v>522</v>
      </c>
      <c r="B3" s="437"/>
      <c r="C3" s="437"/>
      <c r="D3" s="438"/>
      <c r="E3" s="438"/>
      <c r="F3" s="231" t="s">
        <v>748</v>
      </c>
      <c r="G3" s="231"/>
      <c r="H3" s="470" t="s">
        <v>688</v>
      </c>
      <c r="I3" s="470"/>
    </row>
    <row r="4" spans="1:12" ht="15" customHeight="1" x14ac:dyDescent="0.25">
      <c r="A4" s="472" t="s">
        <v>4</v>
      </c>
      <c r="B4" s="472"/>
      <c r="C4" s="472"/>
      <c r="D4" s="471" t="s">
        <v>5</v>
      </c>
      <c r="E4" s="471" t="s">
        <v>6</v>
      </c>
      <c r="F4" s="471" t="s">
        <v>7</v>
      </c>
      <c r="G4" s="473" t="s">
        <v>8</v>
      </c>
      <c r="H4" s="471" t="s">
        <v>9</v>
      </c>
      <c r="I4" s="471" t="s">
        <v>10</v>
      </c>
      <c r="J4" s="471" t="s">
        <v>11</v>
      </c>
    </row>
    <row r="5" spans="1:12" x14ac:dyDescent="0.25">
      <c r="A5" s="232" t="s">
        <v>12</v>
      </c>
      <c r="B5" s="232" t="s">
        <v>13</v>
      </c>
      <c r="C5" s="232" t="s">
        <v>14</v>
      </c>
      <c r="D5" s="471"/>
      <c r="E5" s="471"/>
      <c r="F5" s="471"/>
      <c r="G5" s="473"/>
      <c r="H5" s="471"/>
      <c r="I5" s="471"/>
      <c r="J5" s="471"/>
    </row>
    <row r="6" spans="1:12" ht="18" customHeight="1" x14ac:dyDescent="0.3">
      <c r="A6" s="462" t="s">
        <v>15</v>
      </c>
      <c r="B6" s="462"/>
      <c r="C6" s="462"/>
      <c r="D6" s="462"/>
      <c r="E6" s="462"/>
      <c r="F6" s="462"/>
      <c r="G6" s="462"/>
      <c r="H6" s="462"/>
      <c r="I6" s="462"/>
      <c r="J6" s="212"/>
    </row>
    <row r="7" spans="1:12" ht="18" customHeight="1" x14ac:dyDescent="0.3">
      <c r="A7" s="243">
        <v>4.2300000000000004</v>
      </c>
      <c r="B7" s="243">
        <v>4.96</v>
      </c>
      <c r="C7" s="243">
        <v>38.700000000000003</v>
      </c>
      <c r="D7" s="243">
        <v>228.9</v>
      </c>
      <c r="E7" s="242" t="str">
        <f>"1/50"</f>
        <v>1/50</v>
      </c>
      <c r="F7" s="242" t="s">
        <v>706</v>
      </c>
      <c r="G7" s="211" t="str">
        <f>IFERROR(VLOOKUP(F7,[1]Реестр!A:K,2,0),"")</f>
        <v/>
      </c>
      <c r="H7" s="210">
        <v>30</v>
      </c>
      <c r="I7" s="207">
        <v>38.369999999999997</v>
      </c>
      <c r="J7" s="201" t="str">
        <f>IFERROR(VLOOKUP(O7,Реестр!#REF!,3,0)*Q7/P7,"")</f>
        <v/>
      </c>
    </row>
    <row r="8" spans="1:12" ht="18" customHeight="1" x14ac:dyDescent="0.3">
      <c r="A8" s="243">
        <v>13.79</v>
      </c>
      <c r="B8" s="243">
        <v>14.6</v>
      </c>
      <c r="C8" s="243">
        <v>23.4</v>
      </c>
      <c r="D8" s="243">
        <v>266.7</v>
      </c>
      <c r="E8" s="242" t="str">
        <f>"4/56"</f>
        <v>4/56</v>
      </c>
      <c r="F8" s="242" t="s">
        <v>705</v>
      </c>
      <c r="G8" s="211"/>
      <c r="H8" s="210">
        <v>150</v>
      </c>
      <c r="I8" s="207">
        <v>75.42</v>
      </c>
      <c r="J8" s="201" t="str">
        <f>IFERROR(VLOOKUP(O8,Реестр!#REF!,3,0)*Q8/P8,"")</f>
        <v/>
      </c>
    </row>
    <row r="9" spans="1:12" ht="18" customHeight="1" x14ac:dyDescent="0.3">
      <c r="A9" s="243">
        <v>0.18</v>
      </c>
      <c r="B9" s="243">
        <v>0.04</v>
      </c>
      <c r="C9" s="243">
        <v>13.75</v>
      </c>
      <c r="D9" s="243">
        <v>53.136642799999997</v>
      </c>
      <c r="E9" s="242" t="str">
        <f>"11/56"</f>
        <v>11/56</v>
      </c>
      <c r="F9" s="242" t="s">
        <v>499</v>
      </c>
      <c r="G9" s="211"/>
      <c r="H9" s="210">
        <v>200</v>
      </c>
      <c r="I9" s="207">
        <v>8.15</v>
      </c>
      <c r="J9" s="201" t="str">
        <f>IFERROR(VLOOKUP(O9,Реестр!#REF!,3,0)*Q9/P9,"")</f>
        <v/>
      </c>
    </row>
    <row r="10" spans="1:12" ht="18" customHeight="1" x14ac:dyDescent="0.3">
      <c r="A10" s="264">
        <v>1.3</v>
      </c>
      <c r="B10" s="264">
        <v>0.2</v>
      </c>
      <c r="C10" s="264">
        <v>6.7</v>
      </c>
      <c r="D10" s="264">
        <v>39</v>
      </c>
      <c r="E10" s="381" t="str">
        <f>"-"</f>
        <v>-</v>
      </c>
      <c r="F10" s="381" t="s">
        <v>707</v>
      </c>
      <c r="G10" s="211"/>
      <c r="H10" s="206">
        <v>20</v>
      </c>
      <c r="I10" s="207">
        <v>1.8</v>
      </c>
      <c r="J10" s="201" t="str">
        <f>IFERROR(VLOOKUP(O10,Реестр!#REF!,3,0)*Q10/P10,"")</f>
        <v/>
      </c>
    </row>
    <row r="11" spans="1:12" ht="18.75" x14ac:dyDescent="0.3">
      <c r="A11" s="264">
        <v>0.52</v>
      </c>
      <c r="B11" s="264">
        <v>0.52</v>
      </c>
      <c r="C11" s="264">
        <v>15.08</v>
      </c>
      <c r="D11" s="264">
        <v>63.283999999999985</v>
      </c>
      <c r="E11" s="381" t="str">
        <f>"-"</f>
        <v>-</v>
      </c>
      <c r="F11" s="381" t="s">
        <v>708</v>
      </c>
      <c r="G11" s="211"/>
      <c r="H11" s="206">
        <v>130</v>
      </c>
      <c r="I11" s="207">
        <v>25.78</v>
      </c>
      <c r="J11" s="206"/>
      <c r="K11" s="208"/>
    </row>
    <row r="12" spans="1:12" ht="18" customHeight="1" x14ac:dyDescent="0.3">
      <c r="A12" s="464" t="s">
        <v>16</v>
      </c>
      <c r="B12" s="464"/>
      <c r="C12" s="464"/>
      <c r="D12" s="464"/>
      <c r="E12" s="464"/>
      <c r="F12" s="464"/>
      <c r="G12" s="205"/>
      <c r="H12" s="206"/>
      <c r="I12" s="207">
        <f>SUM(I7:I11)</f>
        <v>149.51999999999998</v>
      </c>
      <c r="J12" s="206">
        <v>85.2</v>
      </c>
      <c r="K12" s="208">
        <f>I12-J12</f>
        <v>64.319999999999979</v>
      </c>
      <c r="L12" s="208"/>
    </row>
    <row r="13" spans="1:12" ht="18" customHeight="1" x14ac:dyDescent="0.3">
      <c r="A13" s="462" t="s">
        <v>17</v>
      </c>
      <c r="B13" s="462"/>
      <c r="C13" s="462"/>
      <c r="D13" s="462"/>
      <c r="E13" s="462"/>
      <c r="F13" s="462"/>
      <c r="G13" s="462"/>
      <c r="H13" s="462"/>
      <c r="I13" s="462"/>
      <c r="J13" s="212"/>
    </row>
    <row r="14" spans="1:12" ht="30" x14ac:dyDescent="0.3">
      <c r="A14" s="383">
        <v>1.33</v>
      </c>
      <c r="B14" s="383">
        <v>5.12</v>
      </c>
      <c r="C14" s="383">
        <v>4.0999999999999996</v>
      </c>
      <c r="D14" s="383">
        <v>73.52</v>
      </c>
      <c r="E14" s="382" t="s">
        <v>709</v>
      </c>
      <c r="F14" s="242" t="s">
        <v>710</v>
      </c>
      <c r="G14" s="211" t="str">
        <f>IFERROR(VLOOKUP(F14,[2]Реестр!A:K,2,0),"")</f>
        <v/>
      </c>
      <c r="H14" s="210">
        <v>80</v>
      </c>
      <c r="I14" s="230">
        <v>44.94</v>
      </c>
      <c r="J14" s="201" t="str">
        <f>IFERROR(VLOOKUP(O14,Реестр!#REF!,3,0)*Q14/P14,"")</f>
        <v/>
      </c>
    </row>
    <row r="15" spans="1:12" ht="18" customHeight="1" x14ac:dyDescent="0.3">
      <c r="A15" s="263">
        <v>4.1100000000000003</v>
      </c>
      <c r="B15" s="263">
        <v>4.7699999999999996</v>
      </c>
      <c r="C15" s="263">
        <v>19.5</v>
      </c>
      <c r="D15" s="263">
        <v>143.13</v>
      </c>
      <c r="E15" s="242" t="s">
        <v>711</v>
      </c>
      <c r="F15" s="242" t="s">
        <v>716</v>
      </c>
      <c r="G15" s="211" t="str">
        <f>IFERROR(VLOOKUP(F15,[2]Реестр!A:K,2,0),"")</f>
        <v/>
      </c>
      <c r="H15" s="206">
        <v>250</v>
      </c>
      <c r="I15" s="207">
        <v>50</v>
      </c>
      <c r="J15" s="201" t="str">
        <f>IFERROR(VLOOKUP(O15,Реестр!#REF!,3,0)*Q15/P15,"")</f>
        <v/>
      </c>
    </row>
    <row r="16" spans="1:12" ht="18" customHeight="1" x14ac:dyDescent="0.3">
      <c r="A16" s="263">
        <v>15.55</v>
      </c>
      <c r="B16" s="263">
        <v>15.4</v>
      </c>
      <c r="C16" s="263">
        <v>57.1</v>
      </c>
      <c r="D16" s="263">
        <v>364.2</v>
      </c>
      <c r="E16" s="242" t="s">
        <v>712</v>
      </c>
      <c r="F16" s="242" t="s">
        <v>713</v>
      </c>
      <c r="G16" s="211" t="str">
        <f>IFERROR(VLOOKUP(F16,[2]Реестр!A:K,2,0),"")</f>
        <v/>
      </c>
      <c r="H16" s="206">
        <v>200</v>
      </c>
      <c r="I16" s="206">
        <v>102.59</v>
      </c>
      <c r="J16" s="201" t="str">
        <f>IFERROR(VLOOKUP(O16,Реестр!#REF!,3,0)*Q16/P16,"")</f>
        <v/>
      </c>
    </row>
    <row r="17" spans="1:12" ht="18" customHeight="1" x14ac:dyDescent="0.3">
      <c r="A17" s="263">
        <v>0.18</v>
      </c>
      <c r="B17" s="263">
        <v>0.05</v>
      </c>
      <c r="C17" s="263">
        <v>0.32</v>
      </c>
      <c r="D17" s="263">
        <v>37.582527999999996</v>
      </c>
      <c r="E17" s="242" t="s">
        <v>714</v>
      </c>
      <c r="F17" s="242" t="s">
        <v>328</v>
      </c>
      <c r="G17" s="211">
        <f>IFERROR(VLOOKUP(F17,[2]Реестр!A:K,2,0),"")</f>
        <v>200</v>
      </c>
      <c r="H17" s="206">
        <v>200</v>
      </c>
      <c r="I17" s="207">
        <v>19.54</v>
      </c>
      <c r="J17" s="201"/>
    </row>
    <row r="18" spans="1:12" ht="18" customHeight="1" x14ac:dyDescent="0.3">
      <c r="A18" s="264">
        <v>3.3</v>
      </c>
      <c r="B18" s="264">
        <v>0.3</v>
      </c>
      <c r="C18" s="264">
        <v>23.4</v>
      </c>
      <c r="D18" s="264">
        <v>112</v>
      </c>
      <c r="E18" s="242" t="s">
        <v>471</v>
      </c>
      <c r="F18" s="242" t="s">
        <v>715</v>
      </c>
      <c r="G18" s="211" t="str">
        <f>IFERROR(VLOOKUP(F18,[2]Реестр!A:K,2,0),"")</f>
        <v/>
      </c>
      <c r="H18" s="206">
        <v>50</v>
      </c>
      <c r="I18" s="207">
        <v>4.5</v>
      </c>
      <c r="J18" s="201" t="str">
        <f>IFERROR(VLOOKUP(O18,Реестр!#REF!,3,0)*Q18/P18,"")</f>
        <v/>
      </c>
    </row>
    <row r="19" spans="1:12" ht="18" customHeight="1" x14ac:dyDescent="0.3">
      <c r="A19" s="241">
        <v>2</v>
      </c>
      <c r="B19" s="241">
        <v>0.4</v>
      </c>
      <c r="C19" s="241">
        <v>10</v>
      </c>
      <c r="D19" s="241">
        <v>58</v>
      </c>
      <c r="E19" s="381" t="s">
        <v>471</v>
      </c>
      <c r="F19" s="381" t="s">
        <v>707</v>
      </c>
      <c r="G19" s="211" t="str">
        <f>IFERROR(VLOOKUP(F19,[2]Реестр!A:K,2,0),"")</f>
        <v/>
      </c>
      <c r="H19" s="206">
        <v>30</v>
      </c>
      <c r="I19" s="203">
        <v>2.7</v>
      </c>
      <c r="J19" s="201" t="str">
        <f>IFERROR(VLOOKUP(O19,Реестр!#REF!,3,0)*Q19/P19,"")</f>
        <v/>
      </c>
    </row>
    <row r="20" spans="1:12" ht="18" customHeight="1" x14ac:dyDescent="0.3">
      <c r="A20" s="196"/>
      <c r="B20" s="196"/>
      <c r="C20" s="196"/>
      <c r="D20" s="196"/>
      <c r="E20" s="214"/>
      <c r="F20" s="204"/>
      <c r="G20" s="199"/>
      <c r="H20" s="200"/>
      <c r="I20" s="203"/>
      <c r="J20" s="201"/>
    </row>
    <row r="21" spans="1:12" ht="18.75" x14ac:dyDescent="0.3">
      <c r="A21" s="464" t="s">
        <v>16</v>
      </c>
      <c r="B21" s="464"/>
      <c r="C21" s="464"/>
      <c r="D21" s="464"/>
      <c r="E21" s="464"/>
      <c r="F21" s="464"/>
      <c r="G21" s="205"/>
      <c r="H21" s="206"/>
      <c r="I21" s="207">
        <f>SUM(I14:I20)</f>
        <v>224.26999999999998</v>
      </c>
      <c r="J21" s="206">
        <v>127.79</v>
      </c>
      <c r="K21" s="208">
        <f>J21-I21</f>
        <v>-96.479999999999976</v>
      </c>
    </row>
    <row r="22" spans="1:12" ht="18.75" hidden="1" x14ac:dyDescent="0.3">
      <c r="A22" s="462" t="s">
        <v>500</v>
      </c>
      <c r="B22" s="462"/>
      <c r="C22" s="462"/>
      <c r="D22" s="462"/>
      <c r="E22" s="462"/>
      <c r="F22" s="462"/>
      <c r="G22" s="462"/>
      <c r="H22" s="462"/>
      <c r="I22" s="462"/>
      <c r="J22" s="212"/>
    </row>
    <row r="23" spans="1:12" ht="18.75" hidden="1" x14ac:dyDescent="0.25">
      <c r="A23" s="369">
        <v>0.24</v>
      </c>
      <c r="B23" s="369">
        <v>0.03</v>
      </c>
      <c r="C23" s="369">
        <v>0.74</v>
      </c>
      <c r="D23" s="369">
        <v>4.2</v>
      </c>
      <c r="E23" s="370" t="str">
        <f>"7/10"</f>
        <v>7/10</v>
      </c>
      <c r="F23" s="265" t="s">
        <v>679</v>
      </c>
      <c r="G23" s="211" t="str">
        <f>IFERROR(VLOOKUP(F23,[1]Реестр!A:K,2,0),"")</f>
        <v/>
      </c>
      <c r="H23" s="210">
        <v>30</v>
      </c>
      <c r="I23" s="230">
        <v>16.100000000000001</v>
      </c>
      <c r="J23" s="212"/>
    </row>
    <row r="24" spans="1:12" ht="18.75" hidden="1" x14ac:dyDescent="0.3">
      <c r="A24" s="348">
        <v>19.440000000000001</v>
      </c>
      <c r="B24" s="348">
        <v>21.37</v>
      </c>
      <c r="C24" s="348">
        <v>55.36</v>
      </c>
      <c r="D24" s="348">
        <v>508.5</v>
      </c>
      <c r="E24" s="349" t="str">
        <f>"8/35"</f>
        <v>8/35</v>
      </c>
      <c r="F24" s="349" t="s">
        <v>549</v>
      </c>
      <c r="G24" s="211" t="str">
        <f>IFERROR(VLOOKUP(F24,[2]Реестр!A:K,2,0),"")</f>
        <v/>
      </c>
      <c r="H24" s="206">
        <v>250</v>
      </c>
      <c r="I24" s="206">
        <v>140.84</v>
      </c>
      <c r="J24" s="201" t="str">
        <f>IFERROR(VLOOKUP(O24,Реестр!#REF!,3,0)*Q24/P24,"")</f>
        <v/>
      </c>
    </row>
    <row r="25" spans="1:12" ht="18.75" hidden="1" x14ac:dyDescent="0.3">
      <c r="A25" s="263">
        <v>0.14000000000000001</v>
      </c>
      <c r="B25" s="263">
        <v>0.1</v>
      </c>
      <c r="C25" s="263">
        <v>1.5</v>
      </c>
      <c r="D25" s="263">
        <v>83.962620000000015</v>
      </c>
      <c r="E25" s="349" t="str">
        <f>"11/1"</f>
        <v>11/1</v>
      </c>
      <c r="F25" s="349" t="s">
        <v>317</v>
      </c>
      <c r="G25" s="211">
        <f>IFERROR(VLOOKUP(F25,[2]Реестр!A:K,2,0),"")</f>
        <v>200</v>
      </c>
      <c r="H25" s="206">
        <v>200</v>
      </c>
      <c r="I25" s="207">
        <v>12.8</v>
      </c>
      <c r="J25" s="201"/>
    </row>
    <row r="26" spans="1:12" ht="18.75" hidden="1" x14ac:dyDescent="0.3">
      <c r="A26" s="209">
        <v>2.64</v>
      </c>
      <c r="B26" s="209">
        <v>0.24</v>
      </c>
      <c r="C26" s="209">
        <v>18.72</v>
      </c>
      <c r="D26" s="209">
        <v>89.6</v>
      </c>
      <c r="E26" s="210" t="s">
        <v>471</v>
      </c>
      <c r="F26" s="217" t="s">
        <v>66</v>
      </c>
      <c r="G26" s="211" t="str">
        <f>IFERROR(VLOOKUP(F26,[2]Реестр!A:K,2,0),"")</f>
        <v>100</v>
      </c>
      <c r="H26" s="206">
        <v>40</v>
      </c>
      <c r="I26" s="207">
        <v>3.6</v>
      </c>
      <c r="J26" s="201" t="str">
        <f>IFERROR(VLOOKUP(O26,Реестр!#REF!,3,0)*Q26/P26,"")</f>
        <v/>
      </c>
    </row>
    <row r="27" spans="1:12" ht="18.75" hidden="1" x14ac:dyDescent="0.3">
      <c r="A27" s="209">
        <v>2.64</v>
      </c>
      <c r="B27" s="209">
        <v>0.48</v>
      </c>
      <c r="C27" s="209">
        <v>13.36</v>
      </c>
      <c r="D27" s="209">
        <v>77.2</v>
      </c>
      <c r="E27" s="210" t="s">
        <v>471</v>
      </c>
      <c r="F27" s="217" t="s">
        <v>65</v>
      </c>
      <c r="G27" s="211" t="str">
        <f>IFERROR(VLOOKUP(F27,[2]Реестр!A:K,2,0),"")</f>
        <v>100</v>
      </c>
      <c r="H27" s="206">
        <v>40</v>
      </c>
      <c r="I27" s="207">
        <v>3.6</v>
      </c>
      <c r="J27" s="201"/>
    </row>
    <row r="28" spans="1:12" ht="18.75" hidden="1" x14ac:dyDescent="0.3">
      <c r="A28" s="196"/>
      <c r="B28" s="196"/>
      <c r="C28" s="196"/>
      <c r="D28" s="196"/>
      <c r="E28" s="197"/>
      <c r="F28" s="204"/>
      <c r="G28" s="199"/>
      <c r="H28" s="200"/>
      <c r="I28" s="203"/>
      <c r="J28" s="201" t="str">
        <f>IFERROR(VLOOKUP(O28,Реестр!#REF!,3,0)*Q28/P28,"")</f>
        <v/>
      </c>
    </row>
    <row r="29" spans="1:12" ht="18.75" hidden="1" x14ac:dyDescent="0.3">
      <c r="A29" s="453" t="s">
        <v>16</v>
      </c>
      <c r="B29" s="454"/>
      <c r="C29" s="454"/>
      <c r="D29" s="454"/>
      <c r="E29" s="454"/>
      <c r="F29" s="455"/>
      <c r="G29" s="205"/>
      <c r="H29" s="206"/>
      <c r="I29" s="207">
        <f>SUM(I23:I28)</f>
        <v>176.94</v>
      </c>
      <c r="J29" s="206">
        <v>98.52</v>
      </c>
      <c r="K29" s="208">
        <f>I29-J29</f>
        <v>78.42</v>
      </c>
      <c r="L29" s="208"/>
    </row>
    <row r="30" spans="1:12" ht="18.75" hidden="1" x14ac:dyDescent="0.3">
      <c r="A30" s="462" t="s">
        <v>501</v>
      </c>
      <c r="B30" s="462"/>
      <c r="C30" s="462"/>
      <c r="D30" s="462"/>
      <c r="E30" s="462"/>
      <c r="F30" s="462"/>
      <c r="G30" s="462"/>
      <c r="H30" s="462"/>
      <c r="I30" s="462"/>
      <c r="J30" s="201"/>
    </row>
    <row r="31" spans="1:12" ht="18.75" hidden="1" x14ac:dyDescent="0.3">
      <c r="A31" s="368">
        <v>1.29</v>
      </c>
      <c r="B31" s="368">
        <v>5.97</v>
      </c>
      <c r="C31" s="368">
        <v>7.97</v>
      </c>
      <c r="D31" s="368">
        <v>86.23</v>
      </c>
      <c r="E31" s="357" t="str">
        <f>"7/80"</f>
        <v>7/80</v>
      </c>
      <c r="F31" s="228" t="s">
        <v>680</v>
      </c>
      <c r="G31" s="211" t="str">
        <f>IFERROR(VLOOKUP(F31,[2]Реестр!A:K,2,0),"")</f>
        <v/>
      </c>
      <c r="H31" s="210">
        <v>100</v>
      </c>
      <c r="I31" s="230">
        <v>52.76</v>
      </c>
      <c r="J31" s="201"/>
    </row>
    <row r="32" spans="1:12" ht="18.75" hidden="1" x14ac:dyDescent="0.3">
      <c r="A32" s="263">
        <v>12.44</v>
      </c>
      <c r="B32" s="263">
        <v>7.77</v>
      </c>
      <c r="C32" s="263">
        <v>25.16</v>
      </c>
      <c r="D32" s="263">
        <v>208</v>
      </c>
      <c r="E32" s="267" t="str">
        <f>"6/70"</f>
        <v>6/70</v>
      </c>
      <c r="F32" s="267" t="s">
        <v>220</v>
      </c>
      <c r="G32" s="211" t="str">
        <f>IFERROR(VLOOKUP(F32,[2]Реестр!A:K,2,0),"")</f>
        <v>300</v>
      </c>
      <c r="H32" s="206">
        <v>250</v>
      </c>
      <c r="I32" s="207">
        <v>50</v>
      </c>
      <c r="J32" s="206"/>
      <c r="K32" s="208">
        <f>I38-J32</f>
        <v>265.39999999999998</v>
      </c>
    </row>
    <row r="33" spans="1:12" ht="18.75" hidden="1" x14ac:dyDescent="0.3">
      <c r="A33" s="348">
        <v>19.440000000000001</v>
      </c>
      <c r="B33" s="348">
        <v>21.37</v>
      </c>
      <c r="C33" s="348">
        <v>55.36</v>
      </c>
      <c r="D33" s="348">
        <v>508.5</v>
      </c>
      <c r="E33" s="349" t="str">
        <f>"8/35"</f>
        <v>8/35</v>
      </c>
      <c r="F33" s="349" t="s">
        <v>549</v>
      </c>
      <c r="G33" s="211" t="str">
        <f>IFERROR(VLOOKUP(F33,[2]Реестр!A:K,2,0),"")</f>
        <v/>
      </c>
      <c r="H33" s="206">
        <v>250</v>
      </c>
      <c r="I33" s="206">
        <v>140.84</v>
      </c>
      <c r="J33" s="212"/>
    </row>
    <row r="34" spans="1:12" ht="18.75" hidden="1" x14ac:dyDescent="0.3">
      <c r="A34" s="263">
        <v>0.14000000000000001</v>
      </c>
      <c r="B34" s="263">
        <v>0.1</v>
      </c>
      <c r="C34" s="263">
        <v>1.5</v>
      </c>
      <c r="D34" s="263">
        <v>83.962620000000015</v>
      </c>
      <c r="E34" s="349" t="str">
        <f>"11/1"</f>
        <v>11/1</v>
      </c>
      <c r="F34" s="349" t="s">
        <v>317</v>
      </c>
      <c r="G34" s="211">
        <f>IFERROR(VLOOKUP(F34,[2]Реестр!A:K,2,0),"")</f>
        <v>200</v>
      </c>
      <c r="H34" s="206">
        <v>200</v>
      </c>
      <c r="I34" s="207">
        <v>12.8</v>
      </c>
      <c r="J34" s="212"/>
    </row>
    <row r="35" spans="1:12" ht="18.75" hidden="1" x14ac:dyDescent="0.3">
      <c r="A35" s="209">
        <v>3.3</v>
      </c>
      <c r="B35" s="209">
        <v>0.3</v>
      </c>
      <c r="C35" s="209">
        <v>23.4</v>
      </c>
      <c r="D35" s="209">
        <v>112</v>
      </c>
      <c r="E35" s="210" t="s">
        <v>471</v>
      </c>
      <c r="F35" s="217" t="s">
        <v>66</v>
      </c>
      <c r="G35" s="211" t="str">
        <f>IFERROR(VLOOKUP(F35,[2]Реестр!A:K,2,0),"")</f>
        <v>100</v>
      </c>
      <c r="H35" s="206">
        <v>50</v>
      </c>
      <c r="I35" s="207">
        <v>4.5</v>
      </c>
      <c r="J35" s="212"/>
    </row>
    <row r="36" spans="1:12" ht="18.75" hidden="1" x14ac:dyDescent="0.3">
      <c r="A36" s="209">
        <v>3.3</v>
      </c>
      <c r="B36" s="209">
        <v>0.6</v>
      </c>
      <c r="C36" s="209">
        <v>16.7</v>
      </c>
      <c r="D36" s="209">
        <v>96.5</v>
      </c>
      <c r="E36" s="210" t="s">
        <v>471</v>
      </c>
      <c r="F36" s="217" t="s">
        <v>65</v>
      </c>
      <c r="G36" s="211" t="str">
        <f>IFERROR(VLOOKUP(F36,[2]Реестр!A:K,2,0),"")</f>
        <v>100</v>
      </c>
      <c r="H36" s="206">
        <v>50</v>
      </c>
      <c r="I36" s="207">
        <v>4.5</v>
      </c>
      <c r="J36" s="394"/>
    </row>
    <row r="37" spans="1:12" ht="18.75" hidden="1" x14ac:dyDescent="0.3">
      <c r="A37" s="209"/>
      <c r="B37" s="209"/>
      <c r="C37" s="209"/>
      <c r="D37" s="209"/>
      <c r="E37" s="218"/>
      <c r="F37" s="217"/>
      <c r="G37" s="211"/>
      <c r="H37" s="206"/>
      <c r="I37" s="207"/>
      <c r="J37" s="394"/>
    </row>
    <row r="38" spans="1:12" ht="18.75" hidden="1" x14ac:dyDescent="0.3">
      <c r="A38" s="453" t="s">
        <v>16</v>
      </c>
      <c r="B38" s="454"/>
      <c r="C38" s="454"/>
      <c r="D38" s="454"/>
      <c r="E38" s="454"/>
      <c r="F38" s="455"/>
      <c r="G38" s="205"/>
      <c r="H38" s="206"/>
      <c r="I38" s="207">
        <f>SUM(I31:I37)</f>
        <v>265.39999999999998</v>
      </c>
      <c r="J38" s="206">
        <v>147.79</v>
      </c>
      <c r="K38" s="208">
        <f>I38-J38</f>
        <v>117.60999999999999</v>
      </c>
    </row>
    <row r="39" spans="1:12" ht="18.75" x14ac:dyDescent="0.3">
      <c r="A39" s="462" t="s">
        <v>18</v>
      </c>
      <c r="B39" s="462"/>
      <c r="C39" s="462"/>
      <c r="D39" s="462"/>
      <c r="E39" s="462"/>
      <c r="F39" s="462"/>
      <c r="G39" s="462"/>
      <c r="H39" s="462"/>
      <c r="I39" s="462"/>
      <c r="J39" s="394"/>
    </row>
    <row r="40" spans="1:12" ht="18.75" x14ac:dyDescent="0.3">
      <c r="A40" s="462" t="s">
        <v>19</v>
      </c>
      <c r="B40" s="462"/>
      <c r="C40" s="462"/>
      <c r="D40" s="462"/>
      <c r="E40" s="462"/>
      <c r="F40" s="462"/>
      <c r="G40" s="462"/>
      <c r="H40" s="462"/>
      <c r="I40" s="462"/>
      <c r="J40" s="394"/>
    </row>
    <row r="41" spans="1:12" ht="18.75" x14ac:dyDescent="0.3">
      <c r="A41" s="243">
        <v>4.2300000000000004</v>
      </c>
      <c r="B41" s="243">
        <v>4.96</v>
      </c>
      <c r="C41" s="243">
        <v>38.700000000000003</v>
      </c>
      <c r="D41" s="243">
        <v>228.9</v>
      </c>
      <c r="E41" s="242" t="str">
        <f>"1/50"</f>
        <v>1/50</v>
      </c>
      <c r="F41" s="242" t="s">
        <v>706</v>
      </c>
      <c r="G41" s="211" t="str">
        <f>IFERROR(VLOOKUP(F41,[1]Реестр!A:K,2,0),"")</f>
        <v/>
      </c>
      <c r="H41" s="210">
        <v>30</v>
      </c>
      <c r="I41" s="207">
        <v>38.369999999999997</v>
      </c>
      <c r="J41" s="394" t="s">
        <v>20</v>
      </c>
    </row>
    <row r="42" spans="1:12" ht="18.75" x14ac:dyDescent="0.3">
      <c r="A42" s="243">
        <v>13.79</v>
      </c>
      <c r="B42" s="243">
        <v>14.6</v>
      </c>
      <c r="C42" s="243">
        <v>23.4</v>
      </c>
      <c r="D42" s="243">
        <v>266.7</v>
      </c>
      <c r="E42" s="242" t="str">
        <f>"4/56"</f>
        <v>4/56</v>
      </c>
      <c r="F42" s="242" t="s">
        <v>705</v>
      </c>
      <c r="G42" s="211"/>
      <c r="H42" s="210">
        <v>150</v>
      </c>
      <c r="I42" s="207">
        <v>75.42</v>
      </c>
      <c r="J42" s="394" t="s">
        <v>537</v>
      </c>
      <c r="K42" s="237"/>
      <c r="L42" s="237"/>
    </row>
    <row r="43" spans="1:12" ht="18.75" x14ac:dyDescent="0.3">
      <c r="A43" s="243">
        <v>0.18</v>
      </c>
      <c r="B43" s="243">
        <v>0.04</v>
      </c>
      <c r="C43" s="243">
        <v>13.75</v>
      </c>
      <c r="D43" s="243">
        <v>53.136642799999997</v>
      </c>
      <c r="E43" s="242" t="str">
        <f>"11/56"</f>
        <v>11/56</v>
      </c>
      <c r="F43" s="242" t="s">
        <v>499</v>
      </c>
      <c r="G43" s="211"/>
      <c r="H43" s="210">
        <v>200</v>
      </c>
      <c r="I43" s="207">
        <v>8.15</v>
      </c>
      <c r="J43" s="394" t="s">
        <v>477</v>
      </c>
      <c r="K43" s="237"/>
      <c r="L43" s="237"/>
    </row>
    <row r="44" spans="1:12" ht="18.75" x14ac:dyDescent="0.3">
      <c r="A44" s="264">
        <v>1.3</v>
      </c>
      <c r="B44" s="264">
        <v>0.2</v>
      </c>
      <c r="C44" s="264">
        <v>6.7</v>
      </c>
      <c r="D44" s="264">
        <v>39</v>
      </c>
      <c r="E44" s="381" t="str">
        <f>"-"</f>
        <v>-</v>
      </c>
      <c r="F44" s="381" t="s">
        <v>707</v>
      </c>
      <c r="G44" s="211"/>
      <c r="H44" s="206">
        <v>20</v>
      </c>
      <c r="I44" s="207">
        <v>1.8</v>
      </c>
      <c r="J44" s="394" t="s">
        <v>479</v>
      </c>
      <c r="K44" s="237"/>
      <c r="L44" s="237"/>
    </row>
    <row r="45" spans="1:12" ht="18.75" x14ac:dyDescent="0.3">
      <c r="A45" s="264">
        <v>0.52</v>
      </c>
      <c r="B45" s="264">
        <v>0.52</v>
      </c>
      <c r="C45" s="264">
        <v>15.08</v>
      </c>
      <c r="D45" s="264">
        <v>63.283999999999985</v>
      </c>
      <c r="E45" s="381" t="str">
        <f>"-"</f>
        <v>-</v>
      </c>
      <c r="F45" s="381" t="s">
        <v>708</v>
      </c>
      <c r="G45" s="211"/>
      <c r="H45" s="206">
        <v>130</v>
      </c>
      <c r="I45" s="207">
        <v>25.78</v>
      </c>
      <c r="J45" s="394" t="s">
        <v>475</v>
      </c>
      <c r="K45" s="238"/>
      <c r="L45" s="237"/>
    </row>
    <row r="46" spans="1:12" ht="18.75" x14ac:dyDescent="0.3">
      <c r="A46" s="465" t="s">
        <v>25</v>
      </c>
      <c r="B46" s="466"/>
      <c r="C46" s="466"/>
      <c r="D46" s="466"/>
      <c r="E46" s="466"/>
      <c r="F46" s="466"/>
      <c r="G46" s="466"/>
      <c r="H46" s="466"/>
      <c r="I46" s="467"/>
      <c r="J46" s="394"/>
    </row>
    <row r="47" spans="1:12" s="234" customFormat="1" ht="30" x14ac:dyDescent="0.25">
      <c r="A47" s="383">
        <v>1.33</v>
      </c>
      <c r="B47" s="383">
        <v>5.12</v>
      </c>
      <c r="C47" s="383">
        <v>4.0999999999999996</v>
      </c>
      <c r="D47" s="383">
        <v>73.52</v>
      </c>
      <c r="E47" s="382" t="s">
        <v>709</v>
      </c>
      <c r="F47" s="242" t="s">
        <v>710</v>
      </c>
      <c r="G47" s="211" t="str">
        <f>IFERROR(VLOOKUP(F47,[2]Реестр!A:K,2,0),"")</f>
        <v/>
      </c>
      <c r="H47" s="210">
        <v>80</v>
      </c>
      <c r="I47" s="230">
        <v>44.94</v>
      </c>
      <c r="J47" s="239" t="s">
        <v>538</v>
      </c>
    </row>
    <row r="48" spans="1:12" ht="18.75" x14ac:dyDescent="0.3">
      <c r="A48" s="263">
        <v>4.1100000000000003</v>
      </c>
      <c r="B48" s="263">
        <v>4.7699999999999996</v>
      </c>
      <c r="C48" s="263">
        <v>19.5</v>
      </c>
      <c r="D48" s="263">
        <v>143.13</v>
      </c>
      <c r="E48" s="242" t="s">
        <v>711</v>
      </c>
      <c r="F48" s="242" t="s">
        <v>716</v>
      </c>
      <c r="G48" s="211" t="str">
        <f>IFERROR(VLOOKUP(F48,[2]Реестр!A:K,2,0),"")</f>
        <v/>
      </c>
      <c r="H48" s="206">
        <v>250</v>
      </c>
      <c r="I48" s="207">
        <v>50</v>
      </c>
      <c r="J48" s="394" t="s">
        <v>478</v>
      </c>
    </row>
    <row r="49" spans="1:11" ht="18.75" x14ac:dyDescent="0.3">
      <c r="A49" s="263">
        <v>15.55</v>
      </c>
      <c r="B49" s="263">
        <v>15.4</v>
      </c>
      <c r="C49" s="263">
        <v>57.1</v>
      </c>
      <c r="D49" s="263">
        <v>364.2</v>
      </c>
      <c r="E49" s="242" t="s">
        <v>712</v>
      </c>
      <c r="F49" s="242" t="s">
        <v>713</v>
      </c>
      <c r="G49" s="211" t="str">
        <f>IFERROR(VLOOKUP(F49,[2]Реестр!A:K,2,0),"")</f>
        <v/>
      </c>
      <c r="H49" s="206">
        <v>200</v>
      </c>
      <c r="I49" s="206">
        <v>102.59</v>
      </c>
      <c r="J49" s="394" t="s">
        <v>537</v>
      </c>
    </row>
    <row r="50" spans="1:11" ht="18.75" x14ac:dyDescent="0.3">
      <c r="A50" s="263">
        <v>0.18</v>
      </c>
      <c r="B50" s="263">
        <v>0.05</v>
      </c>
      <c r="C50" s="263">
        <v>0.32</v>
      </c>
      <c r="D50" s="263">
        <v>37.582527999999996</v>
      </c>
      <c r="E50" s="242" t="s">
        <v>714</v>
      </c>
      <c r="F50" s="242" t="s">
        <v>328</v>
      </c>
      <c r="G50" s="211">
        <f>IFERROR(VLOOKUP(F50,[2]Реестр!A:K,2,0),"")</f>
        <v>200</v>
      </c>
      <c r="H50" s="206">
        <v>200</v>
      </c>
      <c r="I50" s="207">
        <v>19.54</v>
      </c>
      <c r="J50" s="394" t="s">
        <v>29</v>
      </c>
    </row>
    <row r="51" spans="1:11" ht="18.75" x14ac:dyDescent="0.3">
      <c r="A51" s="264">
        <v>3.3</v>
      </c>
      <c r="B51" s="264">
        <v>0.3</v>
      </c>
      <c r="C51" s="264">
        <v>23.4</v>
      </c>
      <c r="D51" s="264">
        <v>112</v>
      </c>
      <c r="E51" s="242" t="s">
        <v>471</v>
      </c>
      <c r="F51" s="242" t="s">
        <v>715</v>
      </c>
      <c r="G51" s="211" t="str">
        <f>IFERROR(VLOOKUP(F51,[2]Реестр!A:K,2,0),"")</f>
        <v/>
      </c>
      <c r="H51" s="206">
        <v>50</v>
      </c>
      <c r="I51" s="207">
        <v>4.5</v>
      </c>
      <c r="J51" s="394" t="s">
        <v>479</v>
      </c>
    </row>
    <row r="52" spans="1:11" ht="18.75" x14ac:dyDescent="0.3">
      <c r="A52" s="241">
        <v>2</v>
      </c>
      <c r="B52" s="241">
        <v>0.4</v>
      </c>
      <c r="C52" s="241">
        <v>10</v>
      </c>
      <c r="D52" s="241">
        <v>58</v>
      </c>
      <c r="E52" s="381" t="s">
        <v>471</v>
      </c>
      <c r="F52" s="381" t="s">
        <v>707</v>
      </c>
      <c r="G52" s="211" t="str">
        <f>IFERROR(VLOOKUP(F52,[2]Реестр!A:K,2,0),"")</f>
        <v/>
      </c>
      <c r="H52" s="206">
        <v>30</v>
      </c>
      <c r="I52" s="203">
        <v>2.7</v>
      </c>
      <c r="J52" s="394" t="s">
        <v>539</v>
      </c>
    </row>
    <row r="53" spans="1:11" ht="18.75" x14ac:dyDescent="0.3">
      <c r="A53" s="196"/>
      <c r="B53" s="196"/>
      <c r="C53" s="196"/>
      <c r="D53" s="196"/>
      <c r="E53" s="214"/>
      <c r="F53" s="204"/>
      <c r="G53" s="199"/>
      <c r="H53" s="200"/>
      <c r="I53" s="203"/>
      <c r="J53" s="394" t="s">
        <v>540</v>
      </c>
    </row>
    <row r="54" spans="1:11" ht="18.75" x14ac:dyDescent="0.3">
      <c r="A54" s="464" t="s">
        <v>16</v>
      </c>
      <c r="B54" s="464"/>
      <c r="C54" s="464"/>
      <c r="D54" s="464"/>
      <c r="E54" s="464"/>
      <c r="F54" s="464"/>
      <c r="G54" s="206"/>
      <c r="H54" s="206"/>
      <c r="I54" s="207">
        <f>SUM(I41:I45,I47:I53)</f>
        <v>373.78999999999996</v>
      </c>
      <c r="J54" s="206">
        <v>212.99</v>
      </c>
      <c r="K54" s="208">
        <f>I54-J54</f>
        <v>160.79999999999995</v>
      </c>
    </row>
    <row r="55" spans="1:11" ht="18.75" hidden="1" x14ac:dyDescent="0.3">
      <c r="A55" s="465" t="s">
        <v>33</v>
      </c>
      <c r="B55" s="466"/>
      <c r="C55" s="466"/>
      <c r="D55" s="466"/>
      <c r="E55" s="466"/>
      <c r="F55" s="466"/>
      <c r="G55" s="466"/>
      <c r="H55" s="466"/>
      <c r="I55" s="467"/>
      <c r="J55" s="394"/>
    </row>
    <row r="56" spans="1:11" ht="18.75" hidden="1" x14ac:dyDescent="0.3">
      <c r="A56" s="465" t="s">
        <v>19</v>
      </c>
      <c r="B56" s="466"/>
      <c r="C56" s="466"/>
      <c r="D56" s="466"/>
      <c r="E56" s="466"/>
      <c r="F56" s="466"/>
      <c r="G56" s="466"/>
      <c r="H56" s="466"/>
      <c r="I56" s="467"/>
      <c r="J56" s="394"/>
    </row>
    <row r="57" spans="1:11" ht="18.75" hidden="1" x14ac:dyDescent="0.3">
      <c r="A57" s="209">
        <f>IFERROR(VLOOKUP(F57,[1]Реестр!A:K,3,0)*H57/G57,"")</f>
        <v>5.08</v>
      </c>
      <c r="B57" s="209">
        <f>IFERROR(VLOOKUP(F57,[1]Реестр!A:K,4,0)*H57/G57,"")</f>
        <v>11.55</v>
      </c>
      <c r="C57" s="209">
        <f>IFERROR(VLOOKUP(F57,[1]Реестр!A:K,5,0)*H57/G57,"")</f>
        <v>9.9700000000000006</v>
      </c>
      <c r="D57" s="209">
        <f>IFERROR(VLOOKUP(F57,[1]Реестр!A:K,6,0)*H57/G57,"")</f>
        <v>164.15</v>
      </c>
      <c r="E57" s="210" t="str">
        <f>IFERROR(VLOOKUP(F57,[1]Реестр!A:K,11,0),"")</f>
        <v>1*51</v>
      </c>
      <c r="F57" s="398" t="s">
        <v>91</v>
      </c>
      <c r="G57" s="211" t="str">
        <f>IFERROR(VLOOKUP(F57,[1]Реестр!A:K,2,0),"")</f>
        <v>45</v>
      </c>
      <c r="H57" s="206">
        <v>45</v>
      </c>
      <c r="I57" s="207">
        <v>57.2</v>
      </c>
      <c r="J57" s="394" t="s">
        <v>20</v>
      </c>
    </row>
    <row r="58" spans="1:11" ht="18.75" hidden="1" x14ac:dyDescent="0.3">
      <c r="A58" s="347">
        <v>10.61</v>
      </c>
      <c r="B58" s="347">
        <v>10.17</v>
      </c>
      <c r="C58" s="347">
        <v>47.32</v>
      </c>
      <c r="D58" s="347">
        <v>321.17797790000003</v>
      </c>
      <c r="E58" s="349" t="str">
        <f>"2/57"</f>
        <v>2/57</v>
      </c>
      <c r="F58" s="349" t="s">
        <v>665</v>
      </c>
      <c r="G58" s="211" t="str">
        <f>IFERROR(VLOOKUP(F58,[1]Реестр!A:K,2,0),"")</f>
        <v/>
      </c>
      <c r="H58" s="210">
        <v>250</v>
      </c>
      <c r="I58" s="207">
        <v>61.16</v>
      </c>
      <c r="J58" s="394" t="s">
        <v>537</v>
      </c>
    </row>
    <row r="59" spans="1:11" ht="18.75" hidden="1" x14ac:dyDescent="0.3">
      <c r="A59" s="209">
        <f>IFERROR(VLOOKUP(F59,[1]Реестр!A:K,3,0)*H59/G59,"")</f>
        <v>0.2</v>
      </c>
      <c r="B59" s="209">
        <f>IFERROR(VLOOKUP(F59,[1]Реестр!A:K,4,0)*H59/G59,"")</f>
        <v>0.12</v>
      </c>
      <c r="C59" s="209">
        <f>IFERROR(VLOOKUP(F59,[1]Реестр!A:K,5,0)*H59/G59,"")</f>
        <v>11.44</v>
      </c>
      <c r="D59" s="209">
        <f>IFERROR(VLOOKUP(F59,[1]Реестр!A:K,6,0)*H59/G59,"")</f>
        <v>46.4</v>
      </c>
      <c r="E59" s="210" t="str">
        <f>IFERROR(VLOOKUP(F59,[1]Реестр!A:K,11,0),"")</f>
        <v>12*2</v>
      </c>
      <c r="F59" s="398" t="s">
        <v>371</v>
      </c>
      <c r="G59" s="211" t="str">
        <f>IFERROR(VLOOKUP(F59,[1]Реестр!A:K,2,0),"")</f>
        <v>100</v>
      </c>
      <c r="H59" s="210">
        <v>40</v>
      </c>
      <c r="I59" s="207">
        <v>32.78</v>
      </c>
      <c r="J59" s="394" t="s">
        <v>477</v>
      </c>
    </row>
    <row r="60" spans="1:11" ht="18.75" hidden="1" x14ac:dyDescent="0.3">
      <c r="A60" s="209">
        <f>IFERROR(VLOOKUP(F60,[1]Реестр!A:K,3,0)*H60/G60,"")</f>
        <v>1.4</v>
      </c>
      <c r="B60" s="209">
        <f>IFERROR(VLOOKUP(F60,[1]Реестр!A:K,4,0)*H60/G60,"")</f>
        <v>1.1000000000000001</v>
      </c>
      <c r="C60" s="209">
        <f>IFERROR(VLOOKUP(F60,[1]Реестр!A:K,5,0)*H60/G60,"")</f>
        <v>16.600000000000001</v>
      </c>
      <c r="D60" s="209">
        <f>IFERROR(VLOOKUP(F60,[1]Реестр!A:K,6,0)*H60/G60,"")</f>
        <v>79</v>
      </c>
      <c r="E60" s="349" t="str">
        <f>"11/59"</f>
        <v>11/59</v>
      </c>
      <c r="F60" s="349" t="s">
        <v>357</v>
      </c>
      <c r="G60" s="211" t="str">
        <f>IFERROR(VLOOKUP(F60,[1]Реестр!A:K,2,0),"")</f>
        <v>200</v>
      </c>
      <c r="H60" s="206">
        <v>200</v>
      </c>
      <c r="I60" s="207">
        <v>22.2</v>
      </c>
      <c r="J60" s="394" t="s">
        <v>541</v>
      </c>
      <c r="K60" s="237"/>
    </row>
    <row r="61" spans="1:11" ht="18.75" hidden="1" x14ac:dyDescent="0.3">
      <c r="A61" s="209">
        <f>IFERROR(VLOOKUP(F61,[1]Реестр!A:K,3,0)*H61/G61,"")</f>
        <v>2.64</v>
      </c>
      <c r="B61" s="209">
        <f>IFERROR(VLOOKUP(F61,[1]Реестр!A:K,4,0)*H61/G61,"")</f>
        <v>0.48</v>
      </c>
      <c r="C61" s="209">
        <f>IFERROR(VLOOKUP(F61,[1]Реестр!A:K,5,0)*H61/G61,"")</f>
        <v>13.36</v>
      </c>
      <c r="D61" s="209">
        <f>IFERROR(VLOOKUP(F61,[1]Реестр!A:K,6,0)*H61/G61,"")</f>
        <v>77.2</v>
      </c>
      <c r="E61" s="210" t="str">
        <f>IFERROR(VLOOKUP(F61,[1]Реестр!A:K,11,0),"")</f>
        <v>-</v>
      </c>
      <c r="F61" s="217" t="s">
        <v>65</v>
      </c>
      <c r="G61" s="211" t="str">
        <f>IFERROR(VLOOKUP(F61,[1]Реестр!A:K,2,0),"")</f>
        <v>100</v>
      </c>
      <c r="H61" s="206">
        <v>40</v>
      </c>
      <c r="I61" s="207">
        <v>3.6</v>
      </c>
      <c r="J61" s="394" t="s">
        <v>475</v>
      </c>
      <c r="K61" s="237"/>
    </row>
    <row r="62" spans="1:11" ht="18.75" hidden="1" x14ac:dyDescent="0.3">
      <c r="A62" s="465" t="s">
        <v>25</v>
      </c>
      <c r="B62" s="466"/>
      <c r="C62" s="466"/>
      <c r="D62" s="466"/>
      <c r="E62" s="466"/>
      <c r="F62" s="466"/>
      <c r="G62" s="466"/>
      <c r="H62" s="466"/>
      <c r="I62" s="467"/>
      <c r="J62" s="201" t="str">
        <f>IFERROR(VLOOKUP(O62,Реестр!#REF!,3,0)*Q62/P62,"")</f>
        <v/>
      </c>
      <c r="K62" s="237"/>
    </row>
    <row r="63" spans="1:11" s="234" customFormat="1" ht="18.75" hidden="1" x14ac:dyDescent="0.25">
      <c r="A63" s="368">
        <v>1.29</v>
      </c>
      <c r="B63" s="368">
        <v>5.97</v>
      </c>
      <c r="C63" s="368">
        <v>7.97</v>
      </c>
      <c r="D63" s="368">
        <v>86.23</v>
      </c>
      <c r="E63" s="357" t="str">
        <f>"7/80"</f>
        <v>7/80</v>
      </c>
      <c r="F63" s="228" t="s">
        <v>680</v>
      </c>
      <c r="G63" s="211" t="str">
        <f>IFERROR(VLOOKUP(F63,[2]Реестр!A:K,2,0),"")</f>
        <v/>
      </c>
      <c r="H63" s="210">
        <v>100</v>
      </c>
      <c r="I63" s="230">
        <v>52.76</v>
      </c>
      <c r="J63" s="239" t="s">
        <v>538</v>
      </c>
      <c r="K63" s="240"/>
    </row>
    <row r="64" spans="1:11" ht="18.75" hidden="1" x14ac:dyDescent="0.3">
      <c r="A64" s="263">
        <v>12.44</v>
      </c>
      <c r="B64" s="263">
        <v>7.77</v>
      </c>
      <c r="C64" s="263">
        <v>25.16</v>
      </c>
      <c r="D64" s="263">
        <v>208</v>
      </c>
      <c r="E64" s="267" t="str">
        <f>"6/70"</f>
        <v>6/70</v>
      </c>
      <c r="F64" s="267" t="s">
        <v>220</v>
      </c>
      <c r="G64" s="211" t="str">
        <f>IFERROR(VLOOKUP(F64,[2]Реестр!A:K,2,0),"")</f>
        <v>300</v>
      </c>
      <c r="H64" s="206">
        <v>250</v>
      </c>
      <c r="I64" s="207">
        <v>50</v>
      </c>
      <c r="J64" s="394" t="s">
        <v>478</v>
      </c>
      <c r="K64" s="237"/>
    </row>
    <row r="65" spans="1:12" ht="18.75" hidden="1" x14ac:dyDescent="0.3">
      <c r="A65" s="348">
        <v>19.440000000000001</v>
      </c>
      <c r="B65" s="348">
        <v>21.37</v>
      </c>
      <c r="C65" s="348">
        <v>55.36</v>
      </c>
      <c r="D65" s="348">
        <v>508.5</v>
      </c>
      <c r="E65" s="349" t="str">
        <f>"8/35"</f>
        <v>8/35</v>
      </c>
      <c r="F65" s="349" t="s">
        <v>549</v>
      </c>
      <c r="G65" s="211" t="str">
        <f>IFERROR(VLOOKUP(F65,[2]Реестр!A:K,2,0),"")</f>
        <v/>
      </c>
      <c r="H65" s="206">
        <v>250</v>
      </c>
      <c r="I65" s="206">
        <v>140.84</v>
      </c>
      <c r="J65" s="394" t="s">
        <v>537</v>
      </c>
      <c r="K65" s="237"/>
    </row>
    <row r="66" spans="1:12" ht="18.75" hidden="1" x14ac:dyDescent="0.3">
      <c r="A66" s="263">
        <v>0.14000000000000001</v>
      </c>
      <c r="B66" s="263">
        <v>0.1</v>
      </c>
      <c r="C66" s="263">
        <v>1.5</v>
      </c>
      <c r="D66" s="263">
        <v>83.962620000000015</v>
      </c>
      <c r="E66" s="349" t="str">
        <f>"11/1"</f>
        <v>11/1</v>
      </c>
      <c r="F66" s="349" t="s">
        <v>317</v>
      </c>
      <c r="G66" s="211">
        <f>IFERROR(VLOOKUP(F66,[2]Реестр!A:K,2,0),"")</f>
        <v>200</v>
      </c>
      <c r="H66" s="206">
        <v>200</v>
      </c>
      <c r="I66" s="207">
        <v>12.8</v>
      </c>
      <c r="J66" s="394" t="s">
        <v>29</v>
      </c>
      <c r="K66" s="237"/>
    </row>
    <row r="67" spans="1:12" ht="18.75" hidden="1" x14ac:dyDescent="0.3">
      <c r="A67" s="209">
        <v>3.3</v>
      </c>
      <c r="B67" s="209">
        <v>0.3</v>
      </c>
      <c r="C67" s="209">
        <v>23.4</v>
      </c>
      <c r="D67" s="209">
        <v>112</v>
      </c>
      <c r="E67" s="210" t="s">
        <v>471</v>
      </c>
      <c r="F67" s="217" t="s">
        <v>66</v>
      </c>
      <c r="G67" s="211" t="str">
        <f>IFERROR(VLOOKUP(F67,[2]Реестр!A:K,2,0),"")</f>
        <v>100</v>
      </c>
      <c r="H67" s="206">
        <v>50</v>
      </c>
      <c r="I67" s="207">
        <v>4.5</v>
      </c>
      <c r="J67" s="394" t="s">
        <v>479</v>
      </c>
      <c r="K67" s="208"/>
    </row>
    <row r="68" spans="1:12" ht="18.75" hidden="1" x14ac:dyDescent="0.3">
      <c r="A68" s="209">
        <v>3.3</v>
      </c>
      <c r="B68" s="209">
        <v>0.6</v>
      </c>
      <c r="C68" s="209">
        <v>16.7</v>
      </c>
      <c r="D68" s="209">
        <v>96.5</v>
      </c>
      <c r="E68" s="210" t="s">
        <v>471</v>
      </c>
      <c r="F68" s="217" t="s">
        <v>65</v>
      </c>
      <c r="G68" s="211" t="str">
        <f>IFERROR(VLOOKUP(F68,[2]Реестр!A:K,2,0),"")</f>
        <v>100</v>
      </c>
      <c r="H68" s="206">
        <v>50</v>
      </c>
      <c r="I68" s="207">
        <v>4.5</v>
      </c>
      <c r="J68" s="394" t="s">
        <v>23</v>
      </c>
    </row>
    <row r="69" spans="1:12" ht="18.75" hidden="1" x14ac:dyDescent="0.3">
      <c r="A69" s="209"/>
      <c r="B69" s="209"/>
      <c r="C69" s="209"/>
      <c r="D69" s="209"/>
      <c r="E69" s="218"/>
      <c r="F69" s="217"/>
      <c r="G69" s="211"/>
      <c r="H69" s="206"/>
      <c r="I69" s="207"/>
      <c r="J69" s="394" t="s">
        <v>540</v>
      </c>
    </row>
    <row r="70" spans="1:12" ht="18" hidden="1" customHeight="1" x14ac:dyDescent="0.3">
      <c r="A70" s="464" t="s">
        <v>16</v>
      </c>
      <c r="B70" s="464"/>
      <c r="C70" s="464"/>
      <c r="D70" s="464"/>
      <c r="E70" s="464"/>
      <c r="F70" s="464"/>
      <c r="G70" s="206"/>
      <c r="H70" s="206"/>
      <c r="I70" s="207">
        <f>SUM(I57:I61)+SUM(I63:I69)</f>
        <v>442.33999999999992</v>
      </c>
      <c r="J70" s="201">
        <v>246.31</v>
      </c>
      <c r="K70" s="208">
        <f>J70-I70</f>
        <v>-196.02999999999992</v>
      </c>
    </row>
    <row r="71" spans="1:12" ht="18.75" hidden="1" x14ac:dyDescent="0.3">
      <c r="A71" s="465" t="s">
        <v>34</v>
      </c>
      <c r="B71" s="466"/>
      <c r="C71" s="466"/>
      <c r="D71" s="466"/>
      <c r="E71" s="466"/>
      <c r="F71" s="466"/>
      <c r="G71" s="466"/>
      <c r="H71" s="466"/>
      <c r="I71" s="467"/>
      <c r="J71" s="206"/>
      <c r="K71" s="208"/>
    </row>
    <row r="72" spans="1:12" ht="18.75" hidden="1" x14ac:dyDescent="0.25">
      <c r="A72" s="369">
        <v>0.24</v>
      </c>
      <c r="B72" s="369">
        <v>0.03</v>
      </c>
      <c r="C72" s="369">
        <v>0.74</v>
      </c>
      <c r="D72" s="369">
        <v>4.2</v>
      </c>
      <c r="E72" s="370" t="str">
        <f>"7/10"</f>
        <v>7/10</v>
      </c>
      <c r="F72" s="265" t="s">
        <v>679</v>
      </c>
      <c r="G72" s="211" t="str">
        <f>IFERROR(VLOOKUP(F72,[1]Реестр!A:K,2,0),"")</f>
        <v/>
      </c>
      <c r="H72" s="210">
        <v>30</v>
      </c>
      <c r="I72" s="230">
        <v>16.100000000000001</v>
      </c>
    </row>
    <row r="73" spans="1:12" ht="18.75" hidden="1" x14ac:dyDescent="0.3">
      <c r="A73" s="348">
        <v>19.440000000000001</v>
      </c>
      <c r="B73" s="348">
        <v>21.37</v>
      </c>
      <c r="C73" s="348">
        <v>55.36</v>
      </c>
      <c r="D73" s="348">
        <v>508.5</v>
      </c>
      <c r="E73" s="349" t="str">
        <f>"8/35"</f>
        <v>8/35</v>
      </c>
      <c r="F73" s="349" t="s">
        <v>549</v>
      </c>
      <c r="G73" s="211" t="str">
        <f>IFERROR(VLOOKUP(F73,[2]Реестр!A:K,2,0),"")</f>
        <v/>
      </c>
      <c r="H73" s="206">
        <v>250</v>
      </c>
      <c r="I73" s="206">
        <v>140.84</v>
      </c>
    </row>
    <row r="74" spans="1:12" ht="18.75" hidden="1" x14ac:dyDescent="0.3">
      <c r="A74" s="263">
        <v>0.14000000000000001</v>
      </c>
      <c r="B74" s="263">
        <v>0.1</v>
      </c>
      <c r="C74" s="263">
        <v>1.5</v>
      </c>
      <c r="D74" s="263">
        <v>83.962620000000015</v>
      </c>
      <c r="E74" s="349" t="str">
        <f>"11/1"</f>
        <v>11/1</v>
      </c>
      <c r="F74" s="349" t="s">
        <v>317</v>
      </c>
      <c r="G74" s="211">
        <f>IFERROR(VLOOKUP(F74,[2]Реестр!A:K,2,0),"")</f>
        <v>200</v>
      </c>
      <c r="H74" s="206">
        <v>200</v>
      </c>
      <c r="I74" s="207">
        <v>12.8</v>
      </c>
    </row>
    <row r="75" spans="1:12" ht="18.75" hidden="1" x14ac:dyDescent="0.3">
      <c r="A75" s="209">
        <v>2.64</v>
      </c>
      <c r="B75" s="209">
        <v>0.24</v>
      </c>
      <c r="C75" s="209">
        <v>18.72</v>
      </c>
      <c r="D75" s="209">
        <v>89.6</v>
      </c>
      <c r="E75" s="210" t="s">
        <v>471</v>
      </c>
      <c r="F75" s="217" t="s">
        <v>66</v>
      </c>
      <c r="G75" s="211" t="str">
        <f>IFERROR(VLOOKUP(F75,[2]Реестр!A:K,2,0),"")</f>
        <v>100</v>
      </c>
      <c r="H75" s="206">
        <v>40</v>
      </c>
      <c r="I75" s="207">
        <v>3.6</v>
      </c>
    </row>
    <row r="76" spans="1:12" ht="18.75" hidden="1" x14ac:dyDescent="0.3">
      <c r="A76" s="209">
        <v>2.64</v>
      </c>
      <c r="B76" s="209">
        <v>0.48</v>
      </c>
      <c r="C76" s="209">
        <v>13.36</v>
      </c>
      <c r="D76" s="209">
        <v>77.2</v>
      </c>
      <c r="E76" s="210" t="s">
        <v>471</v>
      </c>
      <c r="F76" s="217" t="s">
        <v>65</v>
      </c>
      <c r="G76" s="211" t="str">
        <f>IFERROR(VLOOKUP(F76,[2]Реестр!A:K,2,0),"")</f>
        <v>100</v>
      </c>
      <c r="H76" s="206">
        <v>40</v>
      </c>
      <c r="I76" s="207">
        <v>3.6</v>
      </c>
    </row>
    <row r="77" spans="1:12" ht="18.75" hidden="1" x14ac:dyDescent="0.3">
      <c r="A77" s="196"/>
      <c r="B77" s="196"/>
      <c r="C77" s="196"/>
      <c r="D77" s="196"/>
      <c r="E77" s="197"/>
      <c r="F77" s="204"/>
      <c r="G77" s="199"/>
      <c r="H77" s="200"/>
      <c r="I77" s="203"/>
    </row>
    <row r="78" spans="1:12" ht="18.75" hidden="1" x14ac:dyDescent="0.3">
      <c r="A78" s="453" t="s">
        <v>16</v>
      </c>
      <c r="B78" s="454"/>
      <c r="C78" s="454"/>
      <c r="D78" s="454"/>
      <c r="E78" s="454"/>
      <c r="F78" s="455"/>
      <c r="G78" s="205"/>
      <c r="H78" s="206"/>
      <c r="I78" s="207">
        <f>SUM(I72:I77)</f>
        <v>176.94</v>
      </c>
      <c r="J78" s="215">
        <v>98.52</v>
      </c>
      <c r="L78" s="208">
        <f>J78-I78</f>
        <v>-78.42</v>
      </c>
    </row>
    <row r="79" spans="1:12" ht="18.75" hidden="1" x14ac:dyDescent="0.25">
      <c r="A79" s="477" t="s">
        <v>35</v>
      </c>
      <c r="B79" s="478"/>
      <c r="C79" s="478"/>
      <c r="D79" s="478"/>
      <c r="E79" s="478"/>
      <c r="F79" s="478"/>
      <c r="G79" s="478"/>
      <c r="H79" s="478"/>
      <c r="I79" s="479"/>
    </row>
    <row r="80" spans="1:12" ht="18.75" hidden="1" x14ac:dyDescent="0.3">
      <c r="A80" s="219">
        <v>7.7</v>
      </c>
      <c r="B80" s="219">
        <v>7.42</v>
      </c>
      <c r="C80" s="219">
        <v>32.090000000000003</v>
      </c>
      <c r="D80" s="219">
        <v>225.88</v>
      </c>
      <c r="E80" s="261" t="s">
        <v>408</v>
      </c>
      <c r="F80" s="398" t="s">
        <v>605</v>
      </c>
      <c r="G80" s="211" t="str">
        <f>IFERROR(VLOOKUP(F80,[2]Реестр!A:K,2,0),"")</f>
        <v/>
      </c>
      <c r="H80" s="206">
        <v>100</v>
      </c>
      <c r="I80" s="207">
        <v>50</v>
      </c>
      <c r="K80" s="208"/>
    </row>
    <row r="81" spans="1:12" ht="18.75" hidden="1" x14ac:dyDescent="0.3">
      <c r="A81" s="453" t="s">
        <v>16</v>
      </c>
      <c r="B81" s="454"/>
      <c r="C81" s="454"/>
      <c r="D81" s="454"/>
      <c r="E81" s="454"/>
      <c r="F81" s="455"/>
      <c r="G81" s="205"/>
      <c r="H81" s="206"/>
      <c r="I81" s="207">
        <f>I80</f>
        <v>50</v>
      </c>
      <c r="J81" s="215">
        <v>29</v>
      </c>
    </row>
    <row r="82" spans="1:12" ht="18.75" hidden="1" x14ac:dyDescent="0.3">
      <c r="A82" s="465" t="s">
        <v>36</v>
      </c>
      <c r="B82" s="466"/>
      <c r="C82" s="466"/>
      <c r="D82" s="466"/>
      <c r="E82" s="466"/>
      <c r="F82" s="466"/>
      <c r="G82" s="466"/>
      <c r="H82" s="466"/>
      <c r="I82" s="467"/>
    </row>
    <row r="83" spans="1:12" ht="18.75" hidden="1" x14ac:dyDescent="0.3">
      <c r="A83" s="263">
        <v>5.55</v>
      </c>
      <c r="B83" s="263">
        <v>7.8</v>
      </c>
      <c r="C83" s="263">
        <v>15.95</v>
      </c>
      <c r="D83" s="263">
        <v>199.78905478333331</v>
      </c>
      <c r="E83" s="350" t="str">
        <f>"6/70"</f>
        <v>6/70</v>
      </c>
      <c r="F83" s="350" t="s">
        <v>220</v>
      </c>
      <c r="G83" s="211" t="str">
        <f>IFERROR(VLOOKUP(F83,[2]Реестр!A:K,2,0),"")</f>
        <v>300</v>
      </c>
      <c r="H83" s="206">
        <v>250</v>
      </c>
      <c r="I83" s="207">
        <v>50</v>
      </c>
    </row>
    <row r="84" spans="1:12" ht="18.75" hidden="1" x14ac:dyDescent="0.3">
      <c r="A84" s="453" t="s">
        <v>16</v>
      </c>
      <c r="B84" s="454"/>
      <c r="C84" s="454"/>
      <c r="D84" s="454"/>
      <c r="E84" s="454"/>
      <c r="F84" s="455"/>
      <c r="G84" s="205"/>
      <c r="H84" s="206"/>
      <c r="I84" s="207">
        <f>SUM(I83:I83)</f>
        <v>50</v>
      </c>
      <c r="J84" s="215">
        <v>27</v>
      </c>
    </row>
    <row r="85" spans="1:12" ht="18.75" hidden="1" x14ac:dyDescent="0.3">
      <c r="A85" s="465" t="s">
        <v>503</v>
      </c>
      <c r="B85" s="466"/>
      <c r="C85" s="466"/>
      <c r="D85" s="466"/>
      <c r="E85" s="466"/>
      <c r="F85" s="466"/>
      <c r="G85" s="466"/>
      <c r="H85" s="466"/>
      <c r="I85" s="467"/>
    </row>
    <row r="86" spans="1:12" s="234" customFormat="1" ht="27" hidden="1" customHeight="1" x14ac:dyDescent="0.25">
      <c r="A86" s="368">
        <v>1.29</v>
      </c>
      <c r="B86" s="368">
        <v>5.97</v>
      </c>
      <c r="C86" s="368">
        <v>7.97</v>
      </c>
      <c r="D86" s="368">
        <v>86.23</v>
      </c>
      <c r="E86" s="357" t="str">
        <f>"7/80"</f>
        <v>7/80</v>
      </c>
      <c r="F86" s="228" t="s">
        <v>680</v>
      </c>
      <c r="G86" s="211" t="str">
        <f>IFERROR(VLOOKUP(F86,[2]Реестр!A:K,2,0),"")</f>
        <v/>
      </c>
      <c r="H86" s="210">
        <v>100</v>
      </c>
      <c r="I86" s="230">
        <v>52.76</v>
      </c>
      <c r="J86" s="268"/>
    </row>
    <row r="87" spans="1:12" ht="18.75" hidden="1" x14ac:dyDescent="0.3">
      <c r="A87" s="263">
        <v>12.44</v>
      </c>
      <c r="B87" s="263">
        <v>7.77</v>
      </c>
      <c r="C87" s="263">
        <v>25.16</v>
      </c>
      <c r="D87" s="263">
        <v>208</v>
      </c>
      <c r="E87" s="267" t="str">
        <f>"6/70"</f>
        <v>6/70</v>
      </c>
      <c r="F87" s="267" t="s">
        <v>220</v>
      </c>
      <c r="G87" s="211" t="str">
        <f>IFERROR(VLOOKUP(F87,[2]Реестр!A:K,2,0),"")</f>
        <v>300</v>
      </c>
      <c r="H87" s="206">
        <v>250</v>
      </c>
      <c r="I87" s="207">
        <v>50</v>
      </c>
    </row>
    <row r="88" spans="1:12" ht="18.75" hidden="1" x14ac:dyDescent="0.3">
      <c r="A88" s="348">
        <v>19.440000000000001</v>
      </c>
      <c r="B88" s="348">
        <v>21.37</v>
      </c>
      <c r="C88" s="348">
        <v>55.36</v>
      </c>
      <c r="D88" s="348">
        <v>508.5</v>
      </c>
      <c r="E88" s="349" t="str">
        <f>"8/35"</f>
        <v>8/35</v>
      </c>
      <c r="F88" s="349" t="s">
        <v>549</v>
      </c>
      <c r="G88" s="211" t="str">
        <f>IFERROR(VLOOKUP(F88,[2]Реестр!A:K,2,0),"")</f>
        <v/>
      </c>
      <c r="H88" s="206">
        <v>250</v>
      </c>
      <c r="I88" s="206">
        <v>140.84</v>
      </c>
    </row>
    <row r="89" spans="1:12" ht="18.75" hidden="1" x14ac:dyDescent="0.3">
      <c r="A89" s="263">
        <v>0.14000000000000001</v>
      </c>
      <c r="B89" s="263">
        <v>0.1</v>
      </c>
      <c r="C89" s="263">
        <v>1.5</v>
      </c>
      <c r="D89" s="263">
        <v>83.962620000000015</v>
      </c>
      <c r="E89" s="349" t="str">
        <f>"11/1"</f>
        <v>11/1</v>
      </c>
      <c r="F89" s="349" t="s">
        <v>317</v>
      </c>
      <c r="G89" s="211">
        <f>IFERROR(VLOOKUP(F89,[2]Реестр!A:K,2,0),"")</f>
        <v>200</v>
      </c>
      <c r="H89" s="206">
        <v>200</v>
      </c>
      <c r="I89" s="207">
        <v>12.8</v>
      </c>
    </row>
    <row r="90" spans="1:12" ht="18.75" hidden="1" x14ac:dyDescent="0.3">
      <c r="A90" s="209">
        <v>3.3</v>
      </c>
      <c r="B90" s="209">
        <v>0.3</v>
      </c>
      <c r="C90" s="209">
        <v>23.4</v>
      </c>
      <c r="D90" s="209">
        <v>112</v>
      </c>
      <c r="E90" s="210" t="s">
        <v>471</v>
      </c>
      <c r="F90" s="217" t="s">
        <v>66</v>
      </c>
      <c r="G90" s="211" t="str">
        <f>IFERROR(VLOOKUP(F90,[2]Реестр!A:K,2,0),"")</f>
        <v>100</v>
      </c>
      <c r="H90" s="206">
        <v>50</v>
      </c>
      <c r="I90" s="207">
        <v>4.5</v>
      </c>
    </row>
    <row r="91" spans="1:12" ht="18.75" hidden="1" x14ac:dyDescent="0.3">
      <c r="A91" s="209">
        <v>3.3</v>
      </c>
      <c r="B91" s="209">
        <v>0.6</v>
      </c>
      <c r="C91" s="209">
        <v>16.7</v>
      </c>
      <c r="D91" s="209">
        <v>96.5</v>
      </c>
      <c r="E91" s="210" t="s">
        <v>471</v>
      </c>
      <c r="F91" s="217" t="s">
        <v>65</v>
      </c>
      <c r="G91" s="211" t="str">
        <f>IFERROR(VLOOKUP(F91,[2]Реестр!A:K,2,0),"")</f>
        <v>100</v>
      </c>
      <c r="H91" s="206">
        <v>50</v>
      </c>
      <c r="I91" s="207">
        <v>4.5</v>
      </c>
    </row>
    <row r="92" spans="1:12" ht="18.75" hidden="1" x14ac:dyDescent="0.3">
      <c r="A92" s="196"/>
      <c r="B92" s="196"/>
      <c r="C92" s="196"/>
      <c r="D92" s="196"/>
      <c r="E92" s="214"/>
      <c r="F92" s="204"/>
      <c r="G92" s="199"/>
      <c r="H92" s="200"/>
      <c r="I92" s="203"/>
      <c r="K92" s="208"/>
    </row>
    <row r="93" spans="1:12" ht="18.75" hidden="1" x14ac:dyDescent="0.3">
      <c r="A93" s="464" t="s">
        <v>16</v>
      </c>
      <c r="B93" s="464"/>
      <c r="C93" s="464"/>
      <c r="D93" s="464"/>
      <c r="E93" s="464"/>
      <c r="F93" s="464"/>
      <c r="G93" s="205"/>
      <c r="H93" s="206"/>
      <c r="I93" s="207">
        <f>SUM(I86:I92)</f>
        <v>265.39999999999998</v>
      </c>
      <c r="J93" s="215">
        <v>147.79</v>
      </c>
      <c r="L93" s="208">
        <f>J93-I93</f>
        <v>-117.60999999999999</v>
      </c>
    </row>
    <row r="94" spans="1:12" ht="18.75" x14ac:dyDescent="0.3">
      <c r="A94" s="462" t="s">
        <v>544</v>
      </c>
      <c r="B94" s="462"/>
      <c r="C94" s="462"/>
      <c r="D94" s="462"/>
      <c r="E94" s="462"/>
      <c r="F94" s="462"/>
      <c r="G94" s="462"/>
      <c r="H94" s="462"/>
      <c r="I94" s="462"/>
      <c r="K94" s="208"/>
    </row>
    <row r="95" spans="1:12" ht="18.75" x14ac:dyDescent="0.25">
      <c r="A95" s="243">
        <v>3.76</v>
      </c>
      <c r="B95" s="243">
        <v>3.05</v>
      </c>
      <c r="C95" s="243">
        <v>13.8</v>
      </c>
      <c r="D95" s="243">
        <v>93.762559999999993</v>
      </c>
      <c r="E95" s="242" t="s">
        <v>732</v>
      </c>
      <c r="F95" s="387" t="s">
        <v>706</v>
      </c>
      <c r="G95" s="211" t="str">
        <f>IFERROR(VLOOKUP(F95,[1]Реестр!A:K,2,0),"")</f>
        <v/>
      </c>
      <c r="H95" s="243" t="s">
        <v>87</v>
      </c>
      <c r="I95" s="450">
        <v>149.52000000000001</v>
      </c>
      <c r="K95" s="208"/>
    </row>
    <row r="96" spans="1:12" ht="33.75" customHeight="1" x14ac:dyDescent="0.25">
      <c r="A96" s="243">
        <v>13.79</v>
      </c>
      <c r="B96" s="243">
        <v>20.23</v>
      </c>
      <c r="C96" s="243">
        <v>3.57</v>
      </c>
      <c r="D96" s="243">
        <v>251.02964924999998</v>
      </c>
      <c r="E96" s="242" t="s">
        <v>733</v>
      </c>
      <c r="F96" s="387" t="s">
        <v>705</v>
      </c>
      <c r="G96" s="211" t="str">
        <f>IFERROR(VLOOKUP(F96,[1]Реестр!A:K,2,0),"")</f>
        <v/>
      </c>
      <c r="H96" s="243" t="s">
        <v>147</v>
      </c>
      <c r="I96" s="451"/>
      <c r="K96" s="208"/>
    </row>
    <row r="97" spans="1:12" ht="18.75" x14ac:dyDescent="0.25">
      <c r="A97" s="243">
        <v>0.18</v>
      </c>
      <c r="B97" s="243">
        <v>0.04</v>
      </c>
      <c r="C97" s="243">
        <v>13.75</v>
      </c>
      <c r="D97" s="243">
        <v>53.136642799999997</v>
      </c>
      <c r="E97" s="242" t="s">
        <v>734</v>
      </c>
      <c r="F97" s="387" t="s">
        <v>632</v>
      </c>
      <c r="G97" s="211" t="str">
        <f>IFERROR(VLOOKUP(F97,[1]Реестр!A:K,2,0),"")</f>
        <v/>
      </c>
      <c r="H97" s="243" t="s">
        <v>118</v>
      </c>
      <c r="I97" s="451"/>
      <c r="K97" s="208"/>
    </row>
    <row r="98" spans="1:12" ht="18.75" x14ac:dyDescent="0.25">
      <c r="A98" s="241">
        <v>1.32</v>
      </c>
      <c r="B98" s="241">
        <v>0.24</v>
      </c>
      <c r="C98" s="241">
        <v>8.34</v>
      </c>
      <c r="D98" s="241">
        <v>38.676000000000002</v>
      </c>
      <c r="E98" s="381" t="str">
        <f>"-"</f>
        <v>-</v>
      </c>
      <c r="F98" s="381" t="s">
        <v>707</v>
      </c>
      <c r="G98" s="211" t="str">
        <f>IFERROR(VLOOKUP(F98,[1]Реестр!A:K,2,0),"")</f>
        <v/>
      </c>
      <c r="H98" s="264" t="str">
        <f>"20"</f>
        <v>20</v>
      </c>
      <c r="I98" s="451"/>
      <c r="K98" s="208"/>
    </row>
    <row r="99" spans="1:12" ht="18.75" x14ac:dyDescent="0.25">
      <c r="A99" s="241">
        <v>1.32</v>
      </c>
      <c r="B99" s="241">
        <v>0.24</v>
      </c>
      <c r="C99" s="241">
        <v>0</v>
      </c>
      <c r="D99" s="241">
        <v>38.676000000000002</v>
      </c>
      <c r="E99" s="381" t="s">
        <v>471</v>
      </c>
      <c r="F99" s="381" t="s">
        <v>708</v>
      </c>
      <c r="G99" s="211" t="str">
        <f>IFERROR(VLOOKUP(F99,[1]Реестр!A:K,2,0),"")</f>
        <v/>
      </c>
      <c r="H99" s="264" t="s">
        <v>735</v>
      </c>
      <c r="I99" s="452"/>
      <c r="K99" s="208"/>
    </row>
    <row r="100" spans="1:12" ht="18.75" x14ac:dyDescent="0.3">
      <c r="A100" s="464" t="s">
        <v>16</v>
      </c>
      <c r="B100" s="464"/>
      <c r="C100" s="464"/>
      <c r="D100" s="464"/>
      <c r="E100" s="464"/>
      <c r="F100" s="464"/>
      <c r="G100" s="205"/>
      <c r="H100" s="206"/>
      <c r="I100" s="207">
        <f>SUM(I95:I99)</f>
        <v>149.52000000000001</v>
      </c>
      <c r="K100" s="208"/>
    </row>
    <row r="101" spans="1:12" ht="18.75" x14ac:dyDescent="0.3">
      <c r="A101" s="462" t="s">
        <v>545</v>
      </c>
      <c r="B101" s="462"/>
      <c r="C101" s="462"/>
      <c r="D101" s="462"/>
      <c r="E101" s="462"/>
      <c r="F101" s="462"/>
      <c r="G101" s="462"/>
      <c r="H101" s="462"/>
      <c r="I101" s="462"/>
      <c r="J101" s="215">
        <v>85.2</v>
      </c>
      <c r="K101" s="208"/>
      <c r="L101" s="208">
        <f>J101-I101</f>
        <v>85.2</v>
      </c>
    </row>
    <row r="102" spans="1:12" ht="30" x14ac:dyDescent="0.25">
      <c r="A102" s="243">
        <v>17.96</v>
      </c>
      <c r="B102" s="243">
        <v>19.649999999999999</v>
      </c>
      <c r="C102" s="243">
        <v>1.04</v>
      </c>
      <c r="D102" s="243">
        <v>252.59813800000001</v>
      </c>
      <c r="E102" s="242" t="s">
        <v>740</v>
      </c>
      <c r="F102" s="242" t="s">
        <v>741</v>
      </c>
      <c r="G102" s="211" t="str">
        <f>IFERROR(VLOOKUP(F102,[1]Реестр!A:K,2,0),"")</f>
        <v>200</v>
      </c>
      <c r="H102" s="391">
        <v>150</v>
      </c>
      <c r="I102" s="450">
        <v>149.52000000000001</v>
      </c>
      <c r="K102" s="208"/>
    </row>
    <row r="103" spans="1:12" ht="18.75" customHeight="1" x14ac:dyDescent="0.25">
      <c r="A103" s="243">
        <v>0.18</v>
      </c>
      <c r="B103" s="243">
        <v>0.04</v>
      </c>
      <c r="C103" s="243">
        <v>13.75</v>
      </c>
      <c r="D103" s="243">
        <v>53.136642799999997</v>
      </c>
      <c r="E103" s="242" t="s">
        <v>742</v>
      </c>
      <c r="F103" s="242" t="s">
        <v>499</v>
      </c>
      <c r="G103" s="211" t="str">
        <f>IFERROR(VLOOKUP(F103,[1]Реестр!A:K,2,0),"")</f>
        <v>200</v>
      </c>
      <c r="H103" s="243" t="s">
        <v>118</v>
      </c>
      <c r="I103" s="451"/>
      <c r="K103" s="208"/>
    </row>
    <row r="104" spans="1:12" ht="18.75" x14ac:dyDescent="0.25">
      <c r="A104" s="241">
        <v>0.52</v>
      </c>
      <c r="B104" s="241">
        <v>0.52</v>
      </c>
      <c r="C104" s="241">
        <v>15.08</v>
      </c>
      <c r="D104" s="241">
        <v>63.283999999999985</v>
      </c>
      <c r="E104" s="242" t="s">
        <v>471</v>
      </c>
      <c r="F104" s="242" t="s">
        <v>708</v>
      </c>
      <c r="G104" s="211" t="str">
        <f>IFERROR(VLOOKUP(F104,[1]Реестр!A:K,2,0),"")</f>
        <v/>
      </c>
      <c r="H104" s="264" t="s">
        <v>735</v>
      </c>
      <c r="I104" s="451"/>
      <c r="K104" s="208"/>
    </row>
    <row r="105" spans="1:12" ht="18.75" x14ac:dyDescent="0.25">
      <c r="A105" s="241">
        <v>2.64</v>
      </c>
      <c r="B105" s="241">
        <v>0.48</v>
      </c>
      <c r="C105" s="241">
        <v>16.68</v>
      </c>
      <c r="D105" s="241">
        <v>77.352000000000004</v>
      </c>
      <c r="E105" s="242" t="s">
        <v>471</v>
      </c>
      <c r="F105" s="242" t="s">
        <v>715</v>
      </c>
      <c r="G105" s="211" t="str">
        <f>IFERROR(VLOOKUP(F105,[1]Реестр!A:K,2,0),"")</f>
        <v/>
      </c>
      <c r="H105" s="392">
        <v>40</v>
      </c>
      <c r="I105" s="451"/>
      <c r="K105" s="208"/>
    </row>
    <row r="106" spans="1:12" ht="18.75" x14ac:dyDescent="0.25">
      <c r="A106" s="241">
        <v>1.32</v>
      </c>
      <c r="B106" s="241">
        <v>0.24</v>
      </c>
      <c r="C106" s="241">
        <v>8.34</v>
      </c>
      <c r="D106" s="241">
        <v>38.676000000000002</v>
      </c>
      <c r="E106" s="381" t="str">
        <f>"-"</f>
        <v>-</v>
      </c>
      <c r="F106" s="381" t="s">
        <v>707</v>
      </c>
      <c r="G106" s="211" t="str">
        <f>IFERROR(VLOOKUP(F106,[1]Реестр!A:K,2,0),"")</f>
        <v/>
      </c>
      <c r="H106" s="264" t="str">
        <f>"20"</f>
        <v>20</v>
      </c>
      <c r="I106" s="451"/>
      <c r="K106" s="208"/>
    </row>
    <row r="107" spans="1:12" ht="18.75" x14ac:dyDescent="0.3">
      <c r="A107" s="209"/>
      <c r="B107" s="209"/>
      <c r="C107" s="209"/>
      <c r="D107" s="209"/>
      <c r="E107" s="210"/>
      <c r="F107" s="217"/>
      <c r="G107" s="211"/>
      <c r="H107" s="206"/>
      <c r="I107" s="452"/>
      <c r="K107" s="208"/>
    </row>
    <row r="108" spans="1:12" ht="18.75" x14ac:dyDescent="0.3">
      <c r="A108" s="464" t="s">
        <v>16</v>
      </c>
      <c r="B108" s="464"/>
      <c r="C108" s="464"/>
      <c r="D108" s="464"/>
      <c r="E108" s="464"/>
      <c r="F108" s="464"/>
      <c r="G108" s="205"/>
      <c r="H108" s="206"/>
      <c r="I108" s="207">
        <f>SUM(I102)</f>
        <v>149.52000000000001</v>
      </c>
      <c r="K108" s="208"/>
    </row>
    <row r="109" spans="1:12" ht="18.75" x14ac:dyDescent="0.3">
      <c r="A109" s="462" t="s">
        <v>566</v>
      </c>
      <c r="B109" s="462"/>
      <c r="C109" s="462"/>
      <c r="D109" s="462"/>
      <c r="E109" s="462"/>
      <c r="F109" s="462"/>
      <c r="G109" s="462"/>
      <c r="H109" s="462"/>
      <c r="I109" s="462"/>
      <c r="K109" s="208"/>
    </row>
    <row r="110" spans="1:12" ht="30" x14ac:dyDescent="0.25">
      <c r="A110" s="417">
        <v>0.7</v>
      </c>
      <c r="B110" s="243">
        <v>4.8099999999999996</v>
      </c>
      <c r="C110" s="243">
        <v>1.6</v>
      </c>
      <c r="D110" s="243">
        <v>57.718236800000007</v>
      </c>
      <c r="E110" s="242" t="str">
        <f>"7/13/1"</f>
        <v>7/13/1</v>
      </c>
      <c r="F110" s="242" t="s">
        <v>736</v>
      </c>
      <c r="G110" s="211" t="str">
        <f>IFERROR(VLOOKUP(F110,[2]Реестр!A:K,2,0),"")</f>
        <v/>
      </c>
      <c r="H110" s="263" t="s">
        <v>81</v>
      </c>
      <c r="I110" s="450">
        <v>224.27</v>
      </c>
      <c r="K110" s="208"/>
    </row>
    <row r="111" spans="1:12" ht="18.75" x14ac:dyDescent="0.25">
      <c r="A111" s="263">
        <v>4.1100000000000003</v>
      </c>
      <c r="B111" s="263">
        <v>4.7699999999999996</v>
      </c>
      <c r="C111" s="263">
        <v>39.56</v>
      </c>
      <c r="D111" s="263">
        <v>235.36</v>
      </c>
      <c r="E111" s="242" t="s">
        <v>711</v>
      </c>
      <c r="F111" s="242" t="s">
        <v>737</v>
      </c>
      <c r="G111" s="211" t="str">
        <f>IFERROR(VLOOKUP(F111,[2]Реестр!A:K,2,0),"")</f>
        <v/>
      </c>
      <c r="H111" s="243" t="str">
        <f>"250"</f>
        <v>250</v>
      </c>
      <c r="I111" s="451"/>
      <c r="K111" s="208"/>
    </row>
    <row r="112" spans="1:12" ht="18.75" x14ac:dyDescent="0.25">
      <c r="A112" s="263">
        <v>15.55</v>
      </c>
      <c r="B112" s="263">
        <v>15.9</v>
      </c>
      <c r="C112" s="263">
        <v>90.5</v>
      </c>
      <c r="D112" s="263">
        <v>408.6</v>
      </c>
      <c r="E112" s="242" t="s">
        <v>712</v>
      </c>
      <c r="F112" s="242" t="s">
        <v>713</v>
      </c>
      <c r="G112" s="211"/>
      <c r="H112" s="266">
        <v>200</v>
      </c>
      <c r="I112" s="451"/>
      <c r="K112" s="208"/>
    </row>
    <row r="113" spans="1:11" ht="18.75" x14ac:dyDescent="0.25">
      <c r="A113" s="263">
        <v>0.18</v>
      </c>
      <c r="B113" s="263">
        <v>0.05</v>
      </c>
      <c r="C113" s="263">
        <v>9.6300000000000008</v>
      </c>
      <c r="D113" s="263">
        <v>37.582527999999996</v>
      </c>
      <c r="E113" s="242" t="s">
        <v>738</v>
      </c>
      <c r="F113" s="242" t="s">
        <v>739</v>
      </c>
      <c r="G113" s="211"/>
      <c r="H113" s="263" t="s">
        <v>118</v>
      </c>
      <c r="I113" s="451"/>
      <c r="K113" s="208"/>
    </row>
    <row r="114" spans="1:11" ht="18.75" customHeight="1" x14ac:dyDescent="0.25">
      <c r="A114" s="241">
        <v>3.3</v>
      </c>
      <c r="B114" s="241">
        <v>0.6</v>
      </c>
      <c r="C114" s="241">
        <v>20.85</v>
      </c>
      <c r="D114" s="241">
        <v>96.69</v>
      </c>
      <c r="E114" s="242" t="str">
        <f>"-"</f>
        <v>-</v>
      </c>
      <c r="F114" s="242" t="s">
        <v>715</v>
      </c>
      <c r="G114" s="211"/>
      <c r="H114" s="264" t="str">
        <f>"40"</f>
        <v>40</v>
      </c>
      <c r="I114" s="451"/>
      <c r="K114" s="208"/>
    </row>
    <row r="115" spans="1:11" ht="18.75" x14ac:dyDescent="0.25">
      <c r="A115" s="264">
        <v>2.64</v>
      </c>
      <c r="B115" s="264">
        <v>0.48</v>
      </c>
      <c r="C115" s="264">
        <v>16.68</v>
      </c>
      <c r="D115" s="264">
        <v>77.352000000000004</v>
      </c>
      <c r="E115" s="381" t="str">
        <f>"-"</f>
        <v>-</v>
      </c>
      <c r="F115" s="381" t="s">
        <v>707</v>
      </c>
      <c r="G115" s="211" t="str">
        <f>IFERROR(VLOOKUP(F115,[2]Реестр!A:K,2,0),"")</f>
        <v/>
      </c>
      <c r="H115" s="264" t="str">
        <f>"40"</f>
        <v>40</v>
      </c>
      <c r="I115" s="451"/>
      <c r="K115" s="208"/>
    </row>
    <row r="116" spans="1:11" ht="18.75" x14ac:dyDescent="0.25">
      <c r="A116" s="241"/>
      <c r="B116" s="241"/>
      <c r="C116" s="241"/>
      <c r="D116" s="241"/>
      <c r="E116" s="265"/>
      <c r="F116" s="217"/>
      <c r="G116" s="211"/>
      <c r="H116" s="269"/>
      <c r="I116" s="451"/>
      <c r="K116" s="208"/>
    </row>
    <row r="117" spans="1:11" ht="18.75" x14ac:dyDescent="0.3">
      <c r="A117" s="464" t="s">
        <v>16</v>
      </c>
      <c r="B117" s="464"/>
      <c r="C117" s="464"/>
      <c r="D117" s="464"/>
      <c r="E117" s="464"/>
      <c r="F117" s="464"/>
      <c r="G117" s="205"/>
      <c r="H117" s="206"/>
      <c r="I117" s="207">
        <f>SUM(I110:I116)</f>
        <v>224.27</v>
      </c>
      <c r="K117" s="208"/>
    </row>
    <row r="118" spans="1:11" ht="18.75" x14ac:dyDescent="0.3">
      <c r="A118" s="462" t="s">
        <v>550</v>
      </c>
      <c r="B118" s="462"/>
      <c r="C118" s="462"/>
      <c r="D118" s="462"/>
      <c r="E118" s="462"/>
      <c r="F118" s="462"/>
      <c r="G118" s="462"/>
      <c r="H118" s="462"/>
      <c r="I118" s="462"/>
      <c r="K118" s="208"/>
    </row>
    <row r="119" spans="1:11" ht="30" x14ac:dyDescent="0.25">
      <c r="A119" s="417">
        <v>1.33</v>
      </c>
      <c r="B119" s="243">
        <v>5.12</v>
      </c>
      <c r="C119" s="243">
        <v>7.75</v>
      </c>
      <c r="D119" s="243">
        <v>73.52</v>
      </c>
      <c r="E119" s="242" t="s">
        <v>709</v>
      </c>
      <c r="F119" s="242" t="s">
        <v>710</v>
      </c>
      <c r="G119" s="211" t="str">
        <f>IFERROR(VLOOKUP(F119,[2]Реестр!A:K,2,0),"")</f>
        <v/>
      </c>
      <c r="H119" s="210">
        <v>80</v>
      </c>
      <c r="I119" s="450">
        <v>224.27</v>
      </c>
      <c r="K119" s="208"/>
    </row>
    <row r="120" spans="1:11" ht="18.75" x14ac:dyDescent="0.3">
      <c r="A120" s="263">
        <v>4.1100000000000003</v>
      </c>
      <c r="B120" s="263">
        <v>4.7699999999999996</v>
      </c>
      <c r="C120" s="263">
        <v>59.23</v>
      </c>
      <c r="D120" s="263">
        <v>143.13</v>
      </c>
      <c r="E120" s="242" t="str">
        <f>"6/65-1"</f>
        <v>6/65-1</v>
      </c>
      <c r="F120" s="242" t="s">
        <v>731</v>
      </c>
      <c r="G120" s="211" t="str">
        <f>IFERROR(VLOOKUP(F120,[2]Реестр!A:K,2,0),"")</f>
        <v/>
      </c>
      <c r="H120" s="206">
        <v>250</v>
      </c>
      <c r="I120" s="451"/>
      <c r="K120" s="208"/>
    </row>
    <row r="121" spans="1:11" ht="18.75" x14ac:dyDescent="0.3">
      <c r="A121" s="263">
        <v>15.55</v>
      </c>
      <c r="B121" s="263">
        <v>15.9</v>
      </c>
      <c r="C121" s="263">
        <v>90.5</v>
      </c>
      <c r="D121" s="263">
        <v>408.6</v>
      </c>
      <c r="E121" s="242" t="s">
        <v>712</v>
      </c>
      <c r="F121" s="242" t="s">
        <v>713</v>
      </c>
      <c r="G121" s="391">
        <v>200</v>
      </c>
      <c r="H121" s="206">
        <v>200</v>
      </c>
      <c r="I121" s="451"/>
      <c r="K121" s="208"/>
    </row>
    <row r="122" spans="1:11" ht="18.75" x14ac:dyDescent="0.3">
      <c r="A122" s="263">
        <v>0.18</v>
      </c>
      <c r="B122" s="263">
        <v>0.05</v>
      </c>
      <c r="C122" s="263">
        <v>0.32</v>
      </c>
      <c r="D122" s="263">
        <v>37.582527999999996</v>
      </c>
      <c r="E122" s="242" t="s">
        <v>714</v>
      </c>
      <c r="F122" s="242" t="s">
        <v>328</v>
      </c>
      <c r="G122" s="263" t="s">
        <v>118</v>
      </c>
      <c r="H122" s="206">
        <v>200</v>
      </c>
      <c r="I122" s="451"/>
      <c r="K122" s="208"/>
    </row>
    <row r="123" spans="1:11" ht="18.75" x14ac:dyDescent="0.3">
      <c r="A123" s="264">
        <v>2.64</v>
      </c>
      <c r="B123" s="264">
        <v>0.48</v>
      </c>
      <c r="C123" s="264">
        <v>16.68</v>
      </c>
      <c r="D123" s="264">
        <v>77.352000000000004</v>
      </c>
      <c r="E123" s="242" t="str">
        <f>"-"</f>
        <v>-</v>
      </c>
      <c r="F123" s="242" t="s">
        <v>715</v>
      </c>
      <c r="G123" s="392">
        <v>50</v>
      </c>
      <c r="H123" s="206">
        <v>40</v>
      </c>
      <c r="I123" s="451"/>
      <c r="K123" s="208"/>
    </row>
    <row r="124" spans="1:11" ht="18.75" x14ac:dyDescent="0.3">
      <c r="A124" s="264">
        <v>2.64</v>
      </c>
      <c r="B124" s="264">
        <v>0.48</v>
      </c>
      <c r="C124" s="264">
        <v>16.68</v>
      </c>
      <c r="D124" s="264">
        <v>77.352000000000004</v>
      </c>
      <c r="E124" s="381" t="str">
        <f>"-"</f>
        <v>-</v>
      </c>
      <c r="F124" s="381" t="s">
        <v>707</v>
      </c>
      <c r="G124" s="392">
        <v>30</v>
      </c>
      <c r="H124" s="206">
        <v>40</v>
      </c>
      <c r="I124" s="451"/>
      <c r="K124" s="208"/>
    </row>
    <row r="125" spans="1:11" ht="18.75" x14ac:dyDescent="0.25">
      <c r="A125" s="246"/>
      <c r="B125" s="246"/>
      <c r="C125" s="246"/>
      <c r="D125" s="246"/>
      <c r="E125" s="247"/>
      <c r="F125" s="204"/>
      <c r="G125" s="199"/>
      <c r="H125" s="246"/>
      <c r="I125" s="451"/>
      <c r="K125" s="208"/>
    </row>
    <row r="126" spans="1:11" ht="18.75" x14ac:dyDescent="0.3">
      <c r="A126" s="464" t="s">
        <v>16</v>
      </c>
      <c r="B126" s="464"/>
      <c r="C126" s="464"/>
      <c r="D126" s="464"/>
      <c r="E126" s="464"/>
      <c r="F126" s="464"/>
      <c r="G126" s="205"/>
      <c r="H126" s="206"/>
      <c r="I126" s="207">
        <f>SUM(I119)</f>
        <v>224.27</v>
      </c>
      <c r="K126" s="208"/>
    </row>
    <row r="127" spans="1:11" ht="18.75" hidden="1" x14ac:dyDescent="0.25">
      <c r="A127" s="484" t="s">
        <v>592</v>
      </c>
      <c r="B127" s="485"/>
      <c r="C127" s="485"/>
      <c r="D127" s="485"/>
      <c r="E127" s="485"/>
      <c r="F127" s="485"/>
      <c r="G127" s="485"/>
      <c r="H127" s="485"/>
      <c r="I127" s="486"/>
      <c r="K127" s="208"/>
    </row>
    <row r="128" spans="1:11" ht="18.75" hidden="1" x14ac:dyDescent="0.3">
      <c r="A128" s="263">
        <v>5.55</v>
      </c>
      <c r="B128" s="263">
        <v>7.8</v>
      </c>
      <c r="C128" s="263">
        <v>15.95</v>
      </c>
      <c r="D128" s="263">
        <v>199.78905478333331</v>
      </c>
      <c r="E128" s="350" t="str">
        <f>"6/70"</f>
        <v>6/70</v>
      </c>
      <c r="F128" s="350" t="s">
        <v>220</v>
      </c>
      <c r="G128" s="211" t="str">
        <f>IFERROR(VLOOKUP(F128,[2]Реестр!A:K,2,0),"")</f>
        <v>300</v>
      </c>
      <c r="H128" s="206">
        <v>250</v>
      </c>
      <c r="I128" s="207">
        <v>50</v>
      </c>
      <c r="K128" s="208"/>
    </row>
    <row r="129" spans="1:11" ht="18.75" hidden="1" x14ac:dyDescent="0.3">
      <c r="A129" s="263">
        <v>16.579999999999998</v>
      </c>
      <c r="B129" s="263">
        <v>19.5</v>
      </c>
      <c r="C129" s="263">
        <v>68.38</v>
      </c>
      <c r="D129" s="263">
        <v>327.07</v>
      </c>
      <c r="E129" s="349" t="str">
        <f>"8/35"</f>
        <v>8/35</v>
      </c>
      <c r="F129" s="349" t="s">
        <v>549</v>
      </c>
      <c r="G129" s="211" t="str">
        <f>IFERROR(VLOOKUP(F129,[2]Реестр!A:K,2,0),"")</f>
        <v/>
      </c>
      <c r="H129" s="206">
        <v>210</v>
      </c>
      <c r="I129" s="206">
        <v>118.3</v>
      </c>
      <c r="K129" s="208"/>
    </row>
    <row r="130" spans="1:11" ht="18.75" hidden="1" x14ac:dyDescent="0.3">
      <c r="A130" s="263">
        <v>0.14000000000000001</v>
      </c>
      <c r="B130" s="263">
        <v>0.1</v>
      </c>
      <c r="C130" s="263">
        <v>1.5</v>
      </c>
      <c r="D130" s="263">
        <v>83.962620000000015</v>
      </c>
      <c r="E130" s="349" t="str">
        <f>"11/1"</f>
        <v>11/1</v>
      </c>
      <c r="F130" s="349" t="s">
        <v>317</v>
      </c>
      <c r="G130" s="211">
        <f>IFERROR(VLOOKUP(F130,[2]Реестр!A:K,2,0),"")</f>
        <v>200</v>
      </c>
      <c r="H130" s="206">
        <v>200</v>
      </c>
      <c r="I130" s="207">
        <v>12.8</v>
      </c>
      <c r="K130" s="208"/>
    </row>
    <row r="131" spans="1:11" ht="18.75" hidden="1" x14ac:dyDescent="0.3">
      <c r="A131" s="209">
        <v>2.64</v>
      </c>
      <c r="B131" s="209">
        <v>0.24</v>
      </c>
      <c r="C131" s="209">
        <v>18.72</v>
      </c>
      <c r="D131" s="209">
        <v>89.6</v>
      </c>
      <c r="E131" s="210" t="s">
        <v>471</v>
      </c>
      <c r="F131" s="217" t="s">
        <v>66</v>
      </c>
      <c r="G131" s="211" t="str">
        <f>IFERROR(VLOOKUP(F131,[2]Реестр!A:K,2,0),"")</f>
        <v>100</v>
      </c>
      <c r="H131" s="206">
        <v>25</v>
      </c>
      <c r="I131" s="207">
        <v>2.1</v>
      </c>
      <c r="K131" s="208"/>
    </row>
    <row r="132" spans="1:11" ht="18.75" hidden="1" x14ac:dyDescent="0.3">
      <c r="A132" s="209">
        <v>2.97</v>
      </c>
      <c r="B132" s="209">
        <v>0.54</v>
      </c>
      <c r="C132" s="209">
        <v>15.03</v>
      </c>
      <c r="D132" s="209">
        <v>86.85</v>
      </c>
      <c r="E132" s="210" t="s">
        <v>471</v>
      </c>
      <c r="F132" s="217" t="s">
        <v>65</v>
      </c>
      <c r="G132" s="211" t="str">
        <f>IFERROR(VLOOKUP(F132,[2]Реестр!A:K,2,0),"")</f>
        <v>100</v>
      </c>
      <c r="H132" s="206">
        <v>20</v>
      </c>
      <c r="I132" s="207">
        <v>1.8</v>
      </c>
      <c r="K132" s="208"/>
    </row>
    <row r="133" spans="1:11" ht="18.75" hidden="1" x14ac:dyDescent="0.3">
      <c r="A133" s="219">
        <v>7.7</v>
      </c>
      <c r="B133" s="219">
        <v>7.42</v>
      </c>
      <c r="C133" s="219">
        <v>32.090000000000003</v>
      </c>
      <c r="D133" s="219">
        <v>225.88</v>
      </c>
      <c r="E133" s="261" t="s">
        <v>408</v>
      </c>
      <c r="F133" s="395" t="s">
        <v>529</v>
      </c>
      <c r="G133" s="211">
        <f>IFERROR(VLOOKUP(F133,[2]Реестр!A:K,2,0),"")</f>
        <v>100</v>
      </c>
      <c r="H133" s="206">
        <v>100</v>
      </c>
      <c r="I133" s="207">
        <v>50</v>
      </c>
      <c r="K133" s="208"/>
    </row>
    <row r="134" spans="1:11" ht="18.75" hidden="1" x14ac:dyDescent="0.3">
      <c r="A134" s="219"/>
      <c r="B134" s="219"/>
      <c r="C134" s="219"/>
      <c r="D134" s="219"/>
      <c r="E134" s="210"/>
      <c r="F134" s="398"/>
      <c r="G134" s="220"/>
      <c r="H134" s="221"/>
      <c r="I134" s="399"/>
      <c r="K134" s="208"/>
    </row>
    <row r="135" spans="1:11" ht="18.75" hidden="1" x14ac:dyDescent="0.3">
      <c r="A135" s="219"/>
      <c r="B135" s="219"/>
      <c r="C135" s="219"/>
      <c r="D135" s="219"/>
      <c r="E135" s="210"/>
      <c r="F135" s="398"/>
      <c r="G135" s="220"/>
      <c r="H135" s="221"/>
      <c r="I135" s="399"/>
      <c r="K135" s="208"/>
    </row>
    <row r="136" spans="1:11" ht="18.75" hidden="1" x14ac:dyDescent="0.3">
      <c r="A136" s="464" t="s">
        <v>16</v>
      </c>
      <c r="B136" s="464"/>
      <c r="C136" s="464"/>
      <c r="D136" s="464"/>
      <c r="E136" s="464"/>
      <c r="F136" s="464"/>
      <c r="G136" s="205"/>
      <c r="H136" s="206"/>
      <c r="I136" s="207">
        <f>SUM(I128:I135)</f>
        <v>235.00000000000003</v>
      </c>
      <c r="J136" s="215">
        <v>188</v>
      </c>
      <c r="K136" s="208"/>
    </row>
    <row r="137" spans="1:11" ht="18.75" x14ac:dyDescent="0.3">
      <c r="A137" s="481" t="s">
        <v>677</v>
      </c>
      <c r="B137" s="482"/>
      <c r="C137" s="482"/>
      <c r="D137" s="482"/>
      <c r="E137" s="482"/>
      <c r="F137" s="482"/>
      <c r="G137" s="482"/>
      <c r="H137" s="482"/>
      <c r="I137" s="483"/>
      <c r="K137" s="208"/>
    </row>
    <row r="138" spans="1:11" ht="30" x14ac:dyDescent="0.25">
      <c r="A138" s="383">
        <v>1.33</v>
      </c>
      <c r="B138" s="383">
        <v>5.12</v>
      </c>
      <c r="C138" s="383">
        <v>4.0999999999999996</v>
      </c>
      <c r="D138" s="383">
        <v>73.52</v>
      </c>
      <c r="E138" s="382" t="s">
        <v>709</v>
      </c>
      <c r="F138" s="242" t="s">
        <v>710</v>
      </c>
      <c r="G138" s="211" t="str">
        <f>IFERROR(VLOOKUP(F138,[2]Реестр!A:K,2,0),"")</f>
        <v/>
      </c>
      <c r="H138" s="210">
        <v>80</v>
      </c>
      <c r="I138" s="536">
        <v>220.51</v>
      </c>
      <c r="K138" s="208"/>
    </row>
    <row r="139" spans="1:11" ht="18.75" x14ac:dyDescent="0.3">
      <c r="A139" s="263">
        <v>4.1100000000000003</v>
      </c>
      <c r="B139" s="263">
        <v>4.7699999999999996</v>
      </c>
      <c r="C139" s="263">
        <v>19.5</v>
      </c>
      <c r="D139" s="263">
        <v>143.13</v>
      </c>
      <c r="E139" s="242" t="s">
        <v>711</v>
      </c>
      <c r="F139" s="242" t="s">
        <v>716</v>
      </c>
      <c r="G139" s="211" t="str">
        <f>IFERROR(VLOOKUP(F139,[2]Реестр!A:K,2,0),"")</f>
        <v/>
      </c>
      <c r="H139" s="206">
        <v>250</v>
      </c>
      <c r="I139" s="537"/>
      <c r="K139" s="208"/>
    </row>
    <row r="140" spans="1:11" ht="18.75" x14ac:dyDescent="0.3">
      <c r="A140" s="263">
        <v>15.55</v>
      </c>
      <c r="B140" s="263">
        <v>15.4</v>
      </c>
      <c r="C140" s="263">
        <v>57.1</v>
      </c>
      <c r="D140" s="263">
        <v>364.2</v>
      </c>
      <c r="E140" s="242" t="s">
        <v>712</v>
      </c>
      <c r="F140" s="242" t="s">
        <v>713</v>
      </c>
      <c r="G140" s="211" t="str">
        <f>IFERROR(VLOOKUP(F140,[2]Реестр!A:K,2,0),"")</f>
        <v/>
      </c>
      <c r="H140" s="206">
        <v>200</v>
      </c>
      <c r="I140" s="537"/>
      <c r="K140" s="208"/>
    </row>
    <row r="141" spans="1:11" ht="18.75" x14ac:dyDescent="0.3">
      <c r="A141" s="263">
        <v>0.18</v>
      </c>
      <c r="B141" s="263">
        <v>0.05</v>
      </c>
      <c r="C141" s="263">
        <v>0.32</v>
      </c>
      <c r="D141" s="263">
        <v>37.582527999999996</v>
      </c>
      <c r="E141" s="242" t="s">
        <v>714</v>
      </c>
      <c r="F141" s="242" t="s">
        <v>328</v>
      </c>
      <c r="G141" s="211">
        <f>IFERROR(VLOOKUP(F141,[2]Реестр!A:K,2,0),"")</f>
        <v>200</v>
      </c>
      <c r="H141" s="206">
        <v>200</v>
      </c>
      <c r="I141" s="537"/>
      <c r="K141" s="208"/>
    </row>
    <row r="142" spans="1:11" ht="18.75" x14ac:dyDescent="0.3">
      <c r="A142" s="264">
        <v>3.3</v>
      </c>
      <c r="B142" s="264">
        <v>0.3</v>
      </c>
      <c r="C142" s="264">
        <v>23.4</v>
      </c>
      <c r="D142" s="264">
        <v>112</v>
      </c>
      <c r="E142" s="242" t="s">
        <v>471</v>
      </c>
      <c r="F142" s="242" t="s">
        <v>715</v>
      </c>
      <c r="G142" s="211" t="str">
        <f>IFERROR(VLOOKUP(F142,[2]Реестр!A:K,2,0),"")</f>
        <v/>
      </c>
      <c r="H142" s="206">
        <v>50</v>
      </c>
      <c r="I142" s="537"/>
      <c r="K142" s="208"/>
    </row>
    <row r="143" spans="1:11" ht="18.75" x14ac:dyDescent="0.3">
      <c r="A143" s="241">
        <v>2</v>
      </c>
      <c r="B143" s="241">
        <v>0.4</v>
      </c>
      <c r="C143" s="241">
        <v>10</v>
      </c>
      <c r="D143" s="241">
        <v>58</v>
      </c>
      <c r="E143" s="381" t="s">
        <v>471</v>
      </c>
      <c r="F143" s="381" t="s">
        <v>707</v>
      </c>
      <c r="G143" s="211" t="str">
        <f>IFERROR(VLOOKUP(F143,[2]Реестр!A:K,2,0),"")</f>
        <v/>
      </c>
      <c r="H143" s="206">
        <v>30</v>
      </c>
      <c r="I143" s="537"/>
      <c r="K143" s="208"/>
    </row>
    <row r="144" spans="1:11" ht="18.75" x14ac:dyDescent="0.3">
      <c r="A144" s="219">
        <v>7.7</v>
      </c>
      <c r="B144" s="219">
        <v>7.42</v>
      </c>
      <c r="C144" s="219">
        <v>32.090000000000003</v>
      </c>
      <c r="D144" s="219">
        <v>225.88</v>
      </c>
      <c r="E144" s="416" t="s">
        <v>408</v>
      </c>
      <c r="F144" s="406" t="s">
        <v>529</v>
      </c>
      <c r="G144" s="94">
        <f>IFERROR(VLOOKUP(F144,[2]Реестр!A:K,2,0),"")</f>
        <v>100</v>
      </c>
      <c r="H144" s="97">
        <v>80</v>
      </c>
      <c r="I144" s="537"/>
      <c r="K144" s="208"/>
    </row>
    <row r="145" spans="1:11" ht="18.75" x14ac:dyDescent="0.3">
      <c r="A145" s="243">
        <v>0.18</v>
      </c>
      <c r="B145" s="243">
        <v>0.04</v>
      </c>
      <c r="C145" s="243">
        <v>13.75</v>
      </c>
      <c r="D145" s="243">
        <v>53.136642799999997</v>
      </c>
      <c r="E145" s="242" t="str">
        <f>"11/56"</f>
        <v>11/56</v>
      </c>
      <c r="F145" s="242" t="s">
        <v>499</v>
      </c>
      <c r="G145" s="211"/>
      <c r="H145" s="206">
        <v>200</v>
      </c>
      <c r="I145" s="538"/>
      <c r="K145" s="208"/>
    </row>
    <row r="146" spans="1:11" ht="18.75" x14ac:dyDescent="0.3">
      <c r="A146" s="453" t="s">
        <v>16</v>
      </c>
      <c r="B146" s="454"/>
      <c r="C146" s="454"/>
      <c r="D146" s="454"/>
      <c r="E146" s="454"/>
      <c r="F146" s="455"/>
      <c r="G146" s="205"/>
      <c r="H146" s="206"/>
      <c r="I146" s="207">
        <v>220.51</v>
      </c>
      <c r="K146" s="208"/>
    </row>
    <row r="148" spans="1:11" s="215" customFormat="1" ht="18.75" x14ac:dyDescent="0.3">
      <c r="B148" s="252"/>
      <c r="C148" s="253"/>
      <c r="D148" s="253"/>
      <c r="E148" s="253"/>
      <c r="F148" s="254" t="s">
        <v>37</v>
      </c>
      <c r="G148" s="270"/>
      <c r="H148" s="257"/>
      <c r="I148" s="260"/>
      <c r="K148" s="202"/>
    </row>
    <row r="149" spans="1:11" s="215" customFormat="1" ht="18.75" x14ac:dyDescent="0.3">
      <c r="B149" s="252"/>
      <c r="C149" s="253"/>
      <c r="D149" s="253"/>
      <c r="E149" s="253"/>
      <c r="F149" s="254"/>
      <c r="G149" s="270"/>
      <c r="H149" s="418"/>
      <c r="I149" s="260"/>
      <c r="K149" s="202"/>
    </row>
    <row r="150" spans="1:11" x14ac:dyDescent="0.25">
      <c r="H150" s="414" t="s">
        <v>699</v>
      </c>
    </row>
  </sheetData>
  <autoFilter ref="A4:I93" xr:uid="{00000000-0009-0000-0000-000005000000}"/>
  <mergeCells count="55">
    <mergeCell ref="A22:I22"/>
    <mergeCell ref="A29:F29"/>
    <mergeCell ref="A30:I30"/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  <mergeCell ref="J4:J5"/>
    <mergeCell ref="A6:I6"/>
    <mergeCell ref="A12:F12"/>
    <mergeCell ref="A13:I13"/>
    <mergeCell ref="G4:G5"/>
    <mergeCell ref="H4:H5"/>
    <mergeCell ref="A38:F38"/>
    <mergeCell ref="A39:I3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A40:I40"/>
    <mergeCell ref="A118:I118"/>
    <mergeCell ref="A85:I85"/>
    <mergeCell ref="A93:F93"/>
    <mergeCell ref="A94:I94"/>
    <mergeCell ref="I95:I99"/>
    <mergeCell ref="A100:F100"/>
    <mergeCell ref="A101:I101"/>
    <mergeCell ref="I102:I107"/>
    <mergeCell ref="A108:F108"/>
    <mergeCell ref="A109:I109"/>
    <mergeCell ref="I110:I116"/>
    <mergeCell ref="A117:F117"/>
    <mergeCell ref="A146:F146"/>
    <mergeCell ref="I119:I125"/>
    <mergeCell ref="A126:F126"/>
    <mergeCell ref="A127:I127"/>
    <mergeCell ref="A136:F136"/>
    <mergeCell ref="A137:I137"/>
    <mergeCell ref="I138:I145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2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150F3A73-7838-4BA1-8CD3-5AA53F087872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F88 F119:F121 F24 F110 F31 F33 F83 F73 F65 F86 F48 F128:F129 F15 F63 F112 F139</xm:sqref>
        </x14:dataValidation>
        <x14:dataValidation type="list" allowBlank="1" showInputMessage="1" showErrorMessage="1" xr:uid="{1FFCBD77-376F-42B3-B499-4E586D04C098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F20 F125 F53 F37 F92 F69 F115</xm:sqref>
        </x14:dataValidation>
        <x14:dataValidation type="list" allowBlank="1" showInputMessage="1" showErrorMessage="1" xr:uid="{2C01A3A7-2BF8-4502-A6CF-DAE4EFE26E6A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F116 F7 F25:F26 F34:F35 F18 F66:F67 F74:F75 F130:F131 F113 F122:F123 F41 F57:F59 F89:F90 F51 F95:F97 F107 F102:F104 F32 F64 F87 F111 F142</xm:sqref>
        </x14:dataValidation>
        <x14:dataValidation type="list" allowBlank="1" showInputMessage="1" showErrorMessage="1" xr:uid="{84DB0927-835B-43F6-B5A9-CA7683E188D9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F72 F80 F23 F133:F135 F144</xm:sqref>
        </x14:dataValidation>
        <x14:dataValidation type="list" allowBlank="1" showInputMessage="1" showErrorMessage="1" xr:uid="{616A605E-12E0-48AA-BAEC-AE8B38265C96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F44 F105:F106 F91 F52 F76:F77 F132 F10 F27:F28 F36 F19 F68 F60:F61 F98:F99 F124 F143</xm:sqref>
        </x14:dataValidation>
        <x14:dataValidation type="list" allowBlank="1" showInputMessage="1" showErrorMessage="1" xr:uid="{914D42BB-90E8-4CCD-A2E7-1716717D0302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F44 F105:F106 F91 F68 F76:F77 F10 F27:F28 F36 F132 F19 F60:F61 F52 F98:F99 F124 F143</xm:sqref>
        </x14:dataValidation>
        <x14:dataValidation type="list" allowBlank="1" showInputMessage="1" showErrorMessage="1" xr:uid="{0D90626A-2AF5-41E1-8CEB-5B79F500A4B1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F114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98FAF-0003-405D-B04A-60D85F1672AD}">
  <sheetPr codeName="Лист40">
    <pageSetUpPr fitToPage="1"/>
  </sheetPr>
  <dimension ref="A1:L147"/>
  <sheetViews>
    <sheetView view="pageBreakPreview" zoomScaleNormal="100" zoomScaleSheetLayoutView="100" workbookViewId="0">
      <selection activeCell="F7" sqref="F7"/>
    </sheetView>
  </sheetViews>
  <sheetFormatPr defaultRowHeight="15.75" x14ac:dyDescent="0.25"/>
  <cols>
    <col min="1" max="1" width="11.28515625" style="215" customWidth="1"/>
    <col min="2" max="2" width="11.28515625" style="252" customWidth="1"/>
    <col min="3" max="3" width="10.5703125" style="253" customWidth="1"/>
    <col min="4" max="4" width="10.28515625" style="253" customWidth="1"/>
    <col min="5" max="5" width="14" style="253" customWidth="1"/>
    <col min="6" max="6" width="57.85546875" style="253" customWidth="1"/>
    <col min="7" max="7" width="17.85546875" style="253" hidden="1" customWidth="1"/>
    <col min="8" max="9" width="15.5703125" style="253" customWidth="1"/>
    <col min="10" max="10" width="25.5703125" style="215" customWidth="1"/>
    <col min="11" max="1025" width="8.7109375" style="202" customWidth="1"/>
    <col min="1026" max="16384" width="9.140625" style="202"/>
  </cols>
  <sheetData>
    <row r="1" spans="1:12" s="234" customFormat="1" ht="29.25" customHeight="1" x14ac:dyDescent="0.25">
      <c r="A1" s="468" t="s">
        <v>0</v>
      </c>
      <c r="B1" s="468"/>
      <c r="C1" s="235"/>
      <c r="D1" s="235"/>
      <c r="E1" s="235"/>
      <c r="F1" s="231" t="s">
        <v>1</v>
      </c>
      <c r="G1" s="231"/>
      <c r="H1" s="439" t="s">
        <v>0</v>
      </c>
      <c r="I1" s="439"/>
    </row>
    <row r="2" spans="1:12" s="234" customFormat="1" ht="29.25" customHeight="1" x14ac:dyDescent="0.25">
      <c r="A2" s="235" t="s">
        <v>2</v>
      </c>
      <c r="B2" s="235"/>
      <c r="C2" s="259"/>
      <c r="D2" s="259"/>
      <c r="E2" s="259"/>
      <c r="F2" s="231" t="s">
        <v>691</v>
      </c>
      <c r="G2" s="231"/>
      <c r="H2" s="535" t="s">
        <v>692</v>
      </c>
      <c r="I2" s="535"/>
      <c r="J2" s="235"/>
    </row>
    <row r="3" spans="1:12" s="234" customFormat="1" ht="29.25" customHeight="1" x14ac:dyDescent="0.25">
      <c r="A3" s="437" t="s">
        <v>522</v>
      </c>
      <c r="B3" s="437"/>
      <c r="C3" s="437"/>
      <c r="D3" s="438"/>
      <c r="E3" s="438"/>
      <c r="F3" s="231" t="s">
        <v>748</v>
      </c>
      <c r="G3" s="231"/>
      <c r="H3" s="470" t="s">
        <v>693</v>
      </c>
      <c r="I3" s="470"/>
    </row>
    <row r="4" spans="1:12" ht="15" customHeight="1" x14ac:dyDescent="0.25">
      <c r="A4" s="472" t="s">
        <v>4</v>
      </c>
      <c r="B4" s="472"/>
      <c r="C4" s="472"/>
      <c r="D4" s="471" t="s">
        <v>5</v>
      </c>
      <c r="E4" s="471" t="s">
        <v>6</v>
      </c>
      <c r="F4" s="471" t="s">
        <v>7</v>
      </c>
      <c r="G4" s="473" t="s">
        <v>8</v>
      </c>
      <c r="H4" s="471" t="s">
        <v>9</v>
      </c>
      <c r="I4" s="471" t="s">
        <v>10</v>
      </c>
      <c r="J4" s="471" t="s">
        <v>11</v>
      </c>
    </row>
    <row r="5" spans="1:12" x14ac:dyDescent="0.25">
      <c r="A5" s="232" t="s">
        <v>12</v>
      </c>
      <c r="B5" s="232" t="s">
        <v>13</v>
      </c>
      <c r="C5" s="232" t="s">
        <v>14</v>
      </c>
      <c r="D5" s="471"/>
      <c r="E5" s="471"/>
      <c r="F5" s="471"/>
      <c r="G5" s="473"/>
      <c r="H5" s="471"/>
      <c r="I5" s="471"/>
      <c r="J5" s="471"/>
    </row>
    <row r="6" spans="1:12" ht="18" customHeight="1" x14ac:dyDescent="0.3">
      <c r="A6" s="462" t="s">
        <v>15</v>
      </c>
      <c r="B6" s="462"/>
      <c r="C6" s="462"/>
      <c r="D6" s="462"/>
      <c r="E6" s="462"/>
      <c r="F6" s="462"/>
      <c r="G6" s="462"/>
      <c r="H6" s="462"/>
      <c r="I6" s="462"/>
      <c r="J6" s="212"/>
    </row>
    <row r="7" spans="1:12" ht="18" customHeight="1" x14ac:dyDescent="0.3">
      <c r="A7" s="243">
        <v>4.2300000000000004</v>
      </c>
      <c r="B7" s="243">
        <v>4.96</v>
      </c>
      <c r="C7" s="243">
        <v>38.700000000000003</v>
      </c>
      <c r="D7" s="243">
        <v>228.9</v>
      </c>
      <c r="E7" s="242" t="str">
        <f>"1/50"</f>
        <v>1/50</v>
      </c>
      <c r="F7" s="242" t="s">
        <v>706</v>
      </c>
      <c r="G7" s="211" t="str">
        <f>IFERROR(VLOOKUP(F7,[1]Реестр!A:K,2,0),"")</f>
        <v/>
      </c>
      <c r="H7" s="210">
        <v>30</v>
      </c>
      <c r="I7" s="207">
        <v>38.369999999999997</v>
      </c>
      <c r="J7" s="201" t="str">
        <f>IFERROR(VLOOKUP(O7,Реестр!#REF!,3,0)*Q7/P7,"")</f>
        <v/>
      </c>
    </row>
    <row r="8" spans="1:12" ht="18" customHeight="1" x14ac:dyDescent="0.3">
      <c r="A8" s="243">
        <v>13.79</v>
      </c>
      <c r="B8" s="243">
        <v>14.6</v>
      </c>
      <c r="C8" s="243">
        <v>23.4</v>
      </c>
      <c r="D8" s="243">
        <v>266.7</v>
      </c>
      <c r="E8" s="242" t="str">
        <f>"4/56"</f>
        <v>4/56</v>
      </c>
      <c r="F8" s="242" t="s">
        <v>705</v>
      </c>
      <c r="G8" s="211"/>
      <c r="H8" s="210">
        <v>150</v>
      </c>
      <c r="I8" s="207">
        <v>75.42</v>
      </c>
      <c r="J8" s="201" t="str">
        <f>IFERROR(VLOOKUP(O8,Реестр!#REF!,3,0)*Q8/P8,"")</f>
        <v/>
      </c>
    </row>
    <row r="9" spans="1:12" ht="18" customHeight="1" x14ac:dyDescent="0.3">
      <c r="A9" s="243">
        <v>0.18</v>
      </c>
      <c r="B9" s="243">
        <v>0.04</v>
      </c>
      <c r="C9" s="243">
        <v>13.75</v>
      </c>
      <c r="D9" s="243">
        <v>53.136642799999997</v>
      </c>
      <c r="E9" s="242" t="str">
        <f>"11/56"</f>
        <v>11/56</v>
      </c>
      <c r="F9" s="242" t="s">
        <v>499</v>
      </c>
      <c r="G9" s="211"/>
      <c r="H9" s="210">
        <v>200</v>
      </c>
      <c r="I9" s="207">
        <v>8.15</v>
      </c>
      <c r="J9" s="201" t="str">
        <f>IFERROR(VLOOKUP(O9,Реестр!#REF!,3,0)*Q9/P9,"")</f>
        <v/>
      </c>
    </row>
    <row r="10" spans="1:12" ht="18" customHeight="1" x14ac:dyDescent="0.3">
      <c r="A10" s="264">
        <v>1.3</v>
      </c>
      <c r="B10" s="264">
        <v>0.2</v>
      </c>
      <c r="C10" s="264">
        <v>6.7</v>
      </c>
      <c r="D10" s="264">
        <v>39</v>
      </c>
      <c r="E10" s="381" t="str">
        <f>"-"</f>
        <v>-</v>
      </c>
      <c r="F10" s="381" t="s">
        <v>707</v>
      </c>
      <c r="G10" s="211"/>
      <c r="H10" s="206">
        <v>20</v>
      </c>
      <c r="I10" s="207">
        <v>1.8</v>
      </c>
      <c r="J10" s="201" t="str">
        <f>IFERROR(VLOOKUP(O10,Реестр!#REF!,3,0)*Q10/P10,"")</f>
        <v/>
      </c>
    </row>
    <row r="11" spans="1:12" ht="18.75" x14ac:dyDescent="0.3">
      <c r="A11" s="264">
        <v>0.52</v>
      </c>
      <c r="B11" s="264">
        <v>0.52</v>
      </c>
      <c r="C11" s="264">
        <v>15.08</v>
      </c>
      <c r="D11" s="264">
        <v>63.283999999999985</v>
      </c>
      <c r="E11" s="381" t="str">
        <f>"-"</f>
        <v>-</v>
      </c>
      <c r="F11" s="381" t="s">
        <v>708</v>
      </c>
      <c r="G11" s="211"/>
      <c r="H11" s="206">
        <v>130</v>
      </c>
      <c r="I11" s="207">
        <v>25.78</v>
      </c>
      <c r="J11" s="206"/>
      <c r="K11" s="208"/>
    </row>
    <row r="12" spans="1:12" ht="18" customHeight="1" x14ac:dyDescent="0.3">
      <c r="A12" s="464" t="s">
        <v>16</v>
      </c>
      <c r="B12" s="464"/>
      <c r="C12" s="464"/>
      <c r="D12" s="464"/>
      <c r="E12" s="464"/>
      <c r="F12" s="464"/>
      <c r="G12" s="205"/>
      <c r="H12" s="206"/>
      <c r="I12" s="207">
        <f>SUM(I7:I11)</f>
        <v>149.51999999999998</v>
      </c>
      <c r="J12" s="206">
        <v>85.2</v>
      </c>
      <c r="K12" s="208">
        <f>I12-J12</f>
        <v>64.319999999999979</v>
      </c>
      <c r="L12" s="208"/>
    </row>
    <row r="13" spans="1:12" ht="18" customHeight="1" x14ac:dyDescent="0.3">
      <c r="A13" s="462" t="s">
        <v>17</v>
      </c>
      <c r="B13" s="462"/>
      <c r="C13" s="462"/>
      <c r="D13" s="462"/>
      <c r="E13" s="462"/>
      <c r="F13" s="462"/>
      <c r="G13" s="462"/>
      <c r="H13" s="462"/>
      <c r="I13" s="462"/>
      <c r="J13" s="212"/>
    </row>
    <row r="14" spans="1:12" ht="30" x14ac:dyDescent="0.3">
      <c r="A14" s="383">
        <v>1.33</v>
      </c>
      <c r="B14" s="383">
        <v>5.12</v>
      </c>
      <c r="C14" s="383">
        <v>4.0999999999999996</v>
      </c>
      <c r="D14" s="383">
        <v>73.52</v>
      </c>
      <c r="E14" s="382" t="s">
        <v>709</v>
      </c>
      <c r="F14" s="242" t="s">
        <v>710</v>
      </c>
      <c r="G14" s="211" t="str">
        <f>IFERROR(VLOOKUP(F14,[2]Реестр!A:K,2,0),"")</f>
        <v/>
      </c>
      <c r="H14" s="210">
        <v>80</v>
      </c>
      <c r="I14" s="230">
        <v>44.94</v>
      </c>
      <c r="J14" s="201" t="str">
        <f>IFERROR(VLOOKUP(O14,Реестр!#REF!,3,0)*Q14/P14,"")</f>
        <v/>
      </c>
    </row>
    <row r="15" spans="1:12" ht="18" customHeight="1" x14ac:dyDescent="0.3">
      <c r="A15" s="263">
        <v>4.1100000000000003</v>
      </c>
      <c r="B15" s="263">
        <v>4.7699999999999996</v>
      </c>
      <c r="C15" s="263">
        <v>19.5</v>
      </c>
      <c r="D15" s="263">
        <v>143.13</v>
      </c>
      <c r="E15" s="242" t="s">
        <v>711</v>
      </c>
      <c r="F15" s="242" t="s">
        <v>716</v>
      </c>
      <c r="G15" s="211" t="str">
        <f>IFERROR(VLOOKUP(F15,[2]Реестр!A:K,2,0),"")</f>
        <v/>
      </c>
      <c r="H15" s="206">
        <v>250</v>
      </c>
      <c r="I15" s="207">
        <v>50</v>
      </c>
      <c r="J15" s="201" t="str">
        <f>IFERROR(VLOOKUP(O15,Реестр!#REF!,3,0)*Q15/P15,"")</f>
        <v/>
      </c>
    </row>
    <row r="16" spans="1:12" ht="18" customHeight="1" x14ac:dyDescent="0.3">
      <c r="A16" s="263">
        <v>15.55</v>
      </c>
      <c r="B16" s="263">
        <v>15.4</v>
      </c>
      <c r="C16" s="263">
        <v>57.1</v>
      </c>
      <c r="D16" s="263">
        <v>364.2</v>
      </c>
      <c r="E16" s="242" t="s">
        <v>712</v>
      </c>
      <c r="F16" s="242" t="s">
        <v>713</v>
      </c>
      <c r="G16" s="211" t="str">
        <f>IFERROR(VLOOKUP(F16,[2]Реестр!A:K,2,0),"")</f>
        <v/>
      </c>
      <c r="H16" s="206">
        <v>200</v>
      </c>
      <c r="I16" s="206">
        <v>102.59</v>
      </c>
      <c r="J16" s="201" t="str">
        <f>IFERROR(VLOOKUP(O16,Реестр!#REF!,3,0)*Q16/P16,"")</f>
        <v/>
      </c>
    </row>
    <row r="17" spans="1:12" ht="18" customHeight="1" x14ac:dyDescent="0.3">
      <c r="A17" s="263">
        <v>0.18</v>
      </c>
      <c r="B17" s="263">
        <v>0.05</v>
      </c>
      <c r="C17" s="263">
        <v>0.32</v>
      </c>
      <c r="D17" s="263">
        <v>37.582527999999996</v>
      </c>
      <c r="E17" s="242" t="s">
        <v>714</v>
      </c>
      <c r="F17" s="242" t="s">
        <v>328</v>
      </c>
      <c r="G17" s="211">
        <f>IFERROR(VLOOKUP(F17,[2]Реестр!A:K,2,0),"")</f>
        <v>200</v>
      </c>
      <c r="H17" s="206">
        <v>200</v>
      </c>
      <c r="I17" s="207">
        <v>19.54</v>
      </c>
      <c r="J17" s="201"/>
    </row>
    <row r="18" spans="1:12" ht="18" customHeight="1" x14ac:dyDescent="0.3">
      <c r="A18" s="264">
        <v>3.3</v>
      </c>
      <c r="B18" s="264">
        <v>0.3</v>
      </c>
      <c r="C18" s="264">
        <v>23.4</v>
      </c>
      <c r="D18" s="264">
        <v>112</v>
      </c>
      <c r="E18" s="242" t="s">
        <v>471</v>
      </c>
      <c r="F18" s="242" t="s">
        <v>715</v>
      </c>
      <c r="G18" s="211" t="str">
        <f>IFERROR(VLOOKUP(F18,[2]Реестр!A:K,2,0),"")</f>
        <v/>
      </c>
      <c r="H18" s="206">
        <v>50</v>
      </c>
      <c r="I18" s="207">
        <v>4.5</v>
      </c>
      <c r="J18" s="201" t="str">
        <f>IFERROR(VLOOKUP(O18,Реестр!#REF!,3,0)*Q18/P18,"")</f>
        <v/>
      </c>
    </row>
    <row r="19" spans="1:12" ht="18" customHeight="1" x14ac:dyDescent="0.3">
      <c r="A19" s="241">
        <v>2</v>
      </c>
      <c r="B19" s="241">
        <v>0.4</v>
      </c>
      <c r="C19" s="241">
        <v>10</v>
      </c>
      <c r="D19" s="241">
        <v>58</v>
      </c>
      <c r="E19" s="381" t="s">
        <v>471</v>
      </c>
      <c r="F19" s="381" t="s">
        <v>707</v>
      </c>
      <c r="G19" s="211" t="str">
        <f>IFERROR(VLOOKUP(F19,[2]Реестр!A:K,2,0),"")</f>
        <v/>
      </c>
      <c r="H19" s="206">
        <v>30</v>
      </c>
      <c r="I19" s="203">
        <v>2.7</v>
      </c>
      <c r="J19" s="201" t="str">
        <f>IFERROR(VLOOKUP(O19,Реестр!#REF!,3,0)*Q19/P19,"")</f>
        <v/>
      </c>
    </row>
    <row r="20" spans="1:12" ht="18" customHeight="1" x14ac:dyDescent="0.3">
      <c r="A20" s="196"/>
      <c r="B20" s="196"/>
      <c r="C20" s="196"/>
      <c r="D20" s="196"/>
      <c r="E20" s="214"/>
      <c r="F20" s="204"/>
      <c r="G20" s="199"/>
      <c r="H20" s="200"/>
      <c r="I20" s="203"/>
      <c r="J20" s="201"/>
    </row>
    <row r="21" spans="1:12" ht="18.75" x14ac:dyDescent="0.3">
      <c r="A21" s="464" t="s">
        <v>16</v>
      </c>
      <c r="B21" s="464"/>
      <c r="C21" s="464"/>
      <c r="D21" s="464"/>
      <c r="E21" s="464"/>
      <c r="F21" s="464"/>
      <c r="G21" s="205"/>
      <c r="H21" s="206"/>
      <c r="I21" s="207">
        <f>SUM(I14:I20)</f>
        <v>224.26999999999998</v>
      </c>
      <c r="J21" s="206">
        <v>127.79</v>
      </c>
      <c r="K21" s="208">
        <f>J21-I21</f>
        <v>-96.479999999999976</v>
      </c>
    </row>
    <row r="22" spans="1:12" ht="18.75" x14ac:dyDescent="0.3">
      <c r="A22" s="462" t="s">
        <v>500</v>
      </c>
      <c r="B22" s="462"/>
      <c r="C22" s="462"/>
      <c r="D22" s="462"/>
      <c r="E22" s="462"/>
      <c r="F22" s="462"/>
      <c r="G22" s="462"/>
      <c r="H22" s="462"/>
      <c r="I22" s="462"/>
      <c r="J22" s="212"/>
    </row>
    <row r="23" spans="1:12" ht="18.75" x14ac:dyDescent="0.25">
      <c r="A23" s="263">
        <v>0.48</v>
      </c>
      <c r="B23" s="263">
        <v>2.37</v>
      </c>
      <c r="C23" s="263">
        <v>3.09</v>
      </c>
      <c r="D23" s="263">
        <v>36.64</v>
      </c>
      <c r="E23" s="384" t="str">
        <f>"7/26"</f>
        <v>7/26</v>
      </c>
      <c r="F23" s="385" t="s">
        <v>717</v>
      </c>
      <c r="G23" s="211" t="str">
        <f>IFERROR(VLOOKUP(F23,[1]Реестр!A:K,2,0),"")</f>
        <v/>
      </c>
      <c r="H23" s="210">
        <v>30</v>
      </c>
      <c r="I23" s="230">
        <v>19.260000000000002</v>
      </c>
      <c r="J23" s="212"/>
    </row>
    <row r="24" spans="1:12" ht="18.75" x14ac:dyDescent="0.3">
      <c r="A24" s="348">
        <v>19.440000000000001</v>
      </c>
      <c r="B24" s="348">
        <v>19.420000000000002</v>
      </c>
      <c r="C24" s="348">
        <v>57.63</v>
      </c>
      <c r="D24" s="348">
        <v>436.2</v>
      </c>
      <c r="E24" s="242" t="s">
        <v>712</v>
      </c>
      <c r="F24" s="242" t="s">
        <v>713</v>
      </c>
      <c r="G24" s="211" t="str">
        <f>IFERROR(VLOOKUP(F24,[2]Реестр!A:K,2,0),"")</f>
        <v/>
      </c>
      <c r="H24" s="206">
        <v>250</v>
      </c>
      <c r="I24" s="206">
        <v>130.94</v>
      </c>
      <c r="J24" s="201" t="str">
        <f>IFERROR(VLOOKUP(O24,Реестр!#REF!,3,0)*Q24/P24,"")</f>
        <v/>
      </c>
    </row>
    <row r="25" spans="1:12" ht="18.75" x14ac:dyDescent="0.3">
      <c r="A25" s="263">
        <v>0.18</v>
      </c>
      <c r="B25" s="263">
        <v>0.05</v>
      </c>
      <c r="C25" s="263">
        <v>0.32</v>
      </c>
      <c r="D25" s="263">
        <v>37.582527999999996</v>
      </c>
      <c r="E25" s="242" t="s">
        <v>714</v>
      </c>
      <c r="F25" s="386" t="s">
        <v>328</v>
      </c>
      <c r="G25" s="211">
        <f>IFERROR(VLOOKUP(F25,[2]Реестр!A:K,2,0),"")</f>
        <v>200</v>
      </c>
      <c r="H25" s="206">
        <v>200</v>
      </c>
      <c r="I25" s="207">
        <v>19.54</v>
      </c>
      <c r="J25" s="201"/>
    </row>
    <row r="26" spans="1:12" ht="18.75" x14ac:dyDescent="0.3">
      <c r="A26" s="264">
        <v>3.3</v>
      </c>
      <c r="B26" s="264">
        <v>0.3</v>
      </c>
      <c r="C26" s="264">
        <v>23.4</v>
      </c>
      <c r="D26" s="264">
        <v>112</v>
      </c>
      <c r="E26" s="242" t="str">
        <f>"-"</f>
        <v>-</v>
      </c>
      <c r="F26" s="387" t="s">
        <v>715</v>
      </c>
      <c r="G26" s="211" t="str">
        <f>IFERROR(VLOOKUP(F26,[2]Реестр!A:K,2,0),"")</f>
        <v/>
      </c>
      <c r="H26" s="206">
        <v>50</v>
      </c>
      <c r="I26" s="207">
        <v>4.5</v>
      </c>
      <c r="J26" s="201" t="str">
        <f>IFERROR(VLOOKUP(O26,Реестр!#REF!,3,0)*Q26/P26,"")</f>
        <v/>
      </c>
    </row>
    <row r="27" spans="1:12" ht="18.75" x14ac:dyDescent="0.3">
      <c r="A27" s="264">
        <v>2</v>
      </c>
      <c r="B27" s="264">
        <v>0.4</v>
      </c>
      <c r="C27" s="264">
        <v>10</v>
      </c>
      <c r="D27" s="264">
        <v>58</v>
      </c>
      <c r="E27" s="381" t="str">
        <f>"-"</f>
        <v>-</v>
      </c>
      <c r="F27" s="381" t="s">
        <v>707</v>
      </c>
      <c r="G27" s="211" t="str">
        <f>IFERROR(VLOOKUP(F27,[2]Реестр!A:K,2,0),"")</f>
        <v/>
      </c>
      <c r="H27" s="206">
        <v>30</v>
      </c>
      <c r="I27" s="203">
        <v>2.7</v>
      </c>
      <c r="J27" s="201"/>
    </row>
    <row r="28" spans="1:12" ht="18.75" x14ac:dyDescent="0.3">
      <c r="A28" s="196"/>
      <c r="B28" s="196"/>
      <c r="C28" s="196"/>
      <c r="D28" s="196"/>
      <c r="E28" s="197"/>
      <c r="F28" s="217"/>
      <c r="G28" s="199"/>
      <c r="H28" s="206"/>
      <c r="I28" s="203"/>
      <c r="J28" s="201" t="str">
        <f>IFERROR(VLOOKUP(O28,Реестр!#REF!,3,0)*Q28/P28,"")</f>
        <v/>
      </c>
    </row>
    <row r="29" spans="1:12" ht="18.75" x14ac:dyDescent="0.3">
      <c r="A29" s="453" t="s">
        <v>16</v>
      </c>
      <c r="B29" s="454"/>
      <c r="C29" s="454"/>
      <c r="D29" s="454"/>
      <c r="E29" s="454"/>
      <c r="F29" s="455"/>
      <c r="G29" s="205"/>
      <c r="H29" s="206"/>
      <c r="I29" s="207">
        <f>SUM(I23:I28)</f>
        <v>176.93999999999997</v>
      </c>
      <c r="J29" s="206">
        <v>98.52</v>
      </c>
      <c r="K29" s="208">
        <f>I29-J29</f>
        <v>78.419999999999973</v>
      </c>
      <c r="L29" s="208"/>
    </row>
    <row r="30" spans="1:12" ht="18.75" x14ac:dyDescent="0.3">
      <c r="A30" s="462" t="s">
        <v>501</v>
      </c>
      <c r="B30" s="462"/>
      <c r="C30" s="462"/>
      <c r="D30" s="462"/>
      <c r="E30" s="462"/>
      <c r="F30" s="462"/>
      <c r="G30" s="462"/>
      <c r="H30" s="462"/>
      <c r="I30" s="462"/>
      <c r="J30" s="201"/>
    </row>
    <row r="31" spans="1:12" ht="30" x14ac:dyDescent="0.3">
      <c r="A31" s="383">
        <v>2.2999999999999998</v>
      </c>
      <c r="B31" s="383">
        <v>6.01</v>
      </c>
      <c r="C31" s="383">
        <v>4.01</v>
      </c>
      <c r="D31" s="383">
        <v>72.147796</v>
      </c>
      <c r="E31" s="242" t="s">
        <v>709</v>
      </c>
      <c r="F31" s="242" t="s">
        <v>710</v>
      </c>
      <c r="G31" s="211" t="str">
        <f>IFERROR(VLOOKUP(F31,[2]Реестр!A:K,2,0),"")</f>
        <v/>
      </c>
      <c r="H31" s="210">
        <v>100</v>
      </c>
      <c r="I31" s="230">
        <v>56.17</v>
      </c>
      <c r="J31" s="201"/>
    </row>
    <row r="32" spans="1:12" ht="18.75" x14ac:dyDescent="0.3">
      <c r="A32" s="263">
        <v>4.1100000000000003</v>
      </c>
      <c r="B32" s="263">
        <v>4.7699999999999996</v>
      </c>
      <c r="C32" s="263">
        <v>26.5</v>
      </c>
      <c r="D32" s="263">
        <v>213.5</v>
      </c>
      <c r="E32" s="242" t="s">
        <v>711</v>
      </c>
      <c r="F32" s="242" t="s">
        <v>716</v>
      </c>
      <c r="G32" s="211" t="str">
        <f>IFERROR(VLOOKUP(F32,[2]Реестр!A:K,2,0),"")</f>
        <v/>
      </c>
      <c r="H32" s="206">
        <v>250</v>
      </c>
      <c r="I32" s="207">
        <v>50</v>
      </c>
      <c r="J32" s="206"/>
      <c r="K32" s="208">
        <f>I38-J32</f>
        <v>265.40000000000003</v>
      </c>
    </row>
    <row r="33" spans="1:12" ht="18.75" x14ac:dyDescent="0.3">
      <c r="A33" s="348">
        <v>17.5</v>
      </c>
      <c r="B33" s="348">
        <v>15.6</v>
      </c>
      <c r="C33" s="348">
        <v>42.3</v>
      </c>
      <c r="D33" s="348">
        <v>265.7</v>
      </c>
      <c r="E33" s="242" t="s">
        <v>712</v>
      </c>
      <c r="F33" s="242" t="s">
        <v>713</v>
      </c>
      <c r="G33" s="211" t="str">
        <f>IFERROR(VLOOKUP(F33,[2]Реестр!A:K,2,0),"")</f>
        <v/>
      </c>
      <c r="H33" s="206">
        <v>250</v>
      </c>
      <c r="I33" s="206">
        <v>130.94</v>
      </c>
      <c r="J33" s="212"/>
    </row>
    <row r="34" spans="1:12" ht="18.75" x14ac:dyDescent="0.3">
      <c r="A34" s="263">
        <v>3.94</v>
      </c>
      <c r="B34" s="263">
        <v>5.1100000000000003</v>
      </c>
      <c r="C34" s="263">
        <v>27.5</v>
      </c>
      <c r="D34" s="263">
        <v>170.19544859999999</v>
      </c>
      <c r="E34" s="242" t="s">
        <v>714</v>
      </c>
      <c r="F34" s="386" t="s">
        <v>328</v>
      </c>
      <c r="G34" s="211">
        <f>IFERROR(VLOOKUP(F34,[2]Реестр!A:K,2,0),"")</f>
        <v>200</v>
      </c>
      <c r="H34" s="206">
        <v>200</v>
      </c>
      <c r="I34" s="207">
        <v>19.54</v>
      </c>
      <c r="J34" s="212"/>
    </row>
    <row r="35" spans="1:12" ht="18.75" x14ac:dyDescent="0.3">
      <c r="A35" s="264">
        <v>0.14000000000000001</v>
      </c>
      <c r="B35" s="264">
        <v>0.1</v>
      </c>
      <c r="C35" s="264">
        <v>1.5</v>
      </c>
      <c r="D35" s="264">
        <v>83.962620000000015</v>
      </c>
      <c r="E35" s="242" t="s">
        <v>471</v>
      </c>
      <c r="F35" s="242" t="s">
        <v>715</v>
      </c>
      <c r="G35" s="211" t="str">
        <f>IFERROR(VLOOKUP(F35,[2]Реестр!A:K,2,0),"")</f>
        <v/>
      </c>
      <c r="H35" s="206">
        <v>50</v>
      </c>
      <c r="I35" s="207">
        <v>4.5</v>
      </c>
      <c r="J35" s="212"/>
    </row>
    <row r="36" spans="1:12" ht="18.75" x14ac:dyDescent="0.3">
      <c r="A36" s="264">
        <v>3.3</v>
      </c>
      <c r="B36" s="264">
        <v>0.3</v>
      </c>
      <c r="C36" s="264">
        <v>23.4</v>
      </c>
      <c r="D36" s="264">
        <v>112</v>
      </c>
      <c r="E36" s="381" t="s">
        <v>471</v>
      </c>
      <c r="F36" s="381" t="s">
        <v>707</v>
      </c>
      <c r="G36" s="211" t="str">
        <f>IFERROR(VLOOKUP(F36,[2]Реестр!A:K,2,0),"")</f>
        <v/>
      </c>
      <c r="H36" s="206">
        <v>50</v>
      </c>
      <c r="I36" s="203">
        <v>4.25</v>
      </c>
      <c r="J36" s="394"/>
    </row>
    <row r="37" spans="1:12" ht="18.75" x14ac:dyDescent="0.3">
      <c r="A37" s="209"/>
      <c r="B37" s="209"/>
      <c r="C37" s="209"/>
      <c r="D37" s="209"/>
      <c r="E37" s="218"/>
      <c r="F37" s="217"/>
      <c r="G37" s="211"/>
      <c r="H37" s="206"/>
      <c r="I37" s="207"/>
      <c r="J37" s="394"/>
    </row>
    <row r="38" spans="1:12" ht="18.75" x14ac:dyDescent="0.3">
      <c r="A38" s="453" t="s">
        <v>16</v>
      </c>
      <c r="B38" s="454"/>
      <c r="C38" s="454"/>
      <c r="D38" s="454"/>
      <c r="E38" s="454"/>
      <c r="F38" s="455"/>
      <c r="G38" s="205"/>
      <c r="H38" s="206"/>
      <c r="I38" s="207">
        <f>SUM(I31:I37)</f>
        <v>265.40000000000003</v>
      </c>
      <c r="J38" s="206">
        <v>147.79</v>
      </c>
      <c r="K38" s="208">
        <f>I38-J38</f>
        <v>117.61000000000004</v>
      </c>
    </row>
    <row r="39" spans="1:12" ht="18.75" x14ac:dyDescent="0.3">
      <c r="A39" s="462" t="s">
        <v>18</v>
      </c>
      <c r="B39" s="462"/>
      <c r="C39" s="462"/>
      <c r="D39" s="462"/>
      <c r="E39" s="462"/>
      <c r="F39" s="462"/>
      <c r="G39" s="462"/>
      <c r="H39" s="462"/>
      <c r="I39" s="462"/>
      <c r="J39" s="394"/>
    </row>
    <row r="40" spans="1:12" ht="18.75" x14ac:dyDescent="0.3">
      <c r="A40" s="462" t="s">
        <v>19</v>
      </c>
      <c r="B40" s="462"/>
      <c r="C40" s="462"/>
      <c r="D40" s="462"/>
      <c r="E40" s="462"/>
      <c r="F40" s="462"/>
      <c r="G40" s="462"/>
      <c r="H40" s="462"/>
      <c r="I40" s="462"/>
      <c r="J40" s="394"/>
    </row>
    <row r="41" spans="1:12" ht="18.75" x14ac:dyDescent="0.3">
      <c r="A41" s="243">
        <v>4.2300000000000004</v>
      </c>
      <c r="B41" s="243">
        <v>4.96</v>
      </c>
      <c r="C41" s="243">
        <v>38.700000000000003</v>
      </c>
      <c r="D41" s="243">
        <v>228.9</v>
      </c>
      <c r="E41" s="242" t="str">
        <f>"1/50"</f>
        <v>1/50</v>
      </c>
      <c r="F41" s="242" t="s">
        <v>706</v>
      </c>
      <c r="G41" s="211" t="str">
        <f>IFERROR(VLOOKUP(F41,[1]Реестр!A:K,2,0),"")</f>
        <v/>
      </c>
      <c r="H41" s="210">
        <v>30</v>
      </c>
      <c r="I41" s="207">
        <v>38.369999999999997</v>
      </c>
      <c r="J41" s="394" t="s">
        <v>20</v>
      </c>
    </row>
    <row r="42" spans="1:12" ht="18.75" x14ac:dyDescent="0.3">
      <c r="A42" s="243">
        <v>13.79</v>
      </c>
      <c r="B42" s="243">
        <v>14.6</v>
      </c>
      <c r="C42" s="243">
        <v>23.4</v>
      </c>
      <c r="D42" s="243">
        <v>266.7</v>
      </c>
      <c r="E42" s="242" t="str">
        <f>"4/56"</f>
        <v>4/56</v>
      </c>
      <c r="F42" s="242" t="s">
        <v>705</v>
      </c>
      <c r="G42" s="211"/>
      <c r="H42" s="210">
        <v>150</v>
      </c>
      <c r="I42" s="207">
        <v>75.42</v>
      </c>
      <c r="J42" s="394" t="s">
        <v>537</v>
      </c>
      <c r="K42" s="237"/>
      <c r="L42" s="237"/>
    </row>
    <row r="43" spans="1:12" ht="18.75" x14ac:dyDescent="0.3">
      <c r="A43" s="243">
        <v>0.18</v>
      </c>
      <c r="B43" s="243">
        <v>0.04</v>
      </c>
      <c r="C43" s="243">
        <v>13.75</v>
      </c>
      <c r="D43" s="243">
        <v>53.136642799999997</v>
      </c>
      <c r="E43" s="242" t="str">
        <f>"11/56"</f>
        <v>11/56</v>
      </c>
      <c r="F43" s="242" t="s">
        <v>499</v>
      </c>
      <c r="G43" s="211"/>
      <c r="H43" s="210">
        <v>200</v>
      </c>
      <c r="I43" s="207">
        <v>8.15</v>
      </c>
      <c r="J43" s="394" t="s">
        <v>477</v>
      </c>
      <c r="K43" s="237"/>
      <c r="L43" s="237"/>
    </row>
    <row r="44" spans="1:12" ht="18.75" x14ac:dyDescent="0.3">
      <c r="A44" s="264">
        <v>1.3</v>
      </c>
      <c r="B44" s="264">
        <v>0.2</v>
      </c>
      <c r="C44" s="264">
        <v>6.7</v>
      </c>
      <c r="D44" s="264">
        <v>39</v>
      </c>
      <c r="E44" s="381" t="str">
        <f>"-"</f>
        <v>-</v>
      </c>
      <c r="F44" s="381" t="s">
        <v>707</v>
      </c>
      <c r="G44" s="211"/>
      <c r="H44" s="206">
        <v>20</v>
      </c>
      <c r="I44" s="207">
        <v>1.8</v>
      </c>
      <c r="J44" s="394" t="s">
        <v>479</v>
      </c>
      <c r="K44" s="237"/>
      <c r="L44" s="237"/>
    </row>
    <row r="45" spans="1:12" ht="18.75" x14ac:dyDescent="0.3">
      <c r="A45" s="264">
        <v>0.52</v>
      </c>
      <c r="B45" s="264">
        <v>0.52</v>
      </c>
      <c r="C45" s="264">
        <v>15.08</v>
      </c>
      <c r="D45" s="264">
        <v>63.283999999999985</v>
      </c>
      <c r="E45" s="381" t="str">
        <f>"-"</f>
        <v>-</v>
      </c>
      <c r="F45" s="381" t="s">
        <v>708</v>
      </c>
      <c r="G45" s="211"/>
      <c r="H45" s="206">
        <v>130</v>
      </c>
      <c r="I45" s="207">
        <v>25.78</v>
      </c>
      <c r="J45" s="394" t="s">
        <v>475</v>
      </c>
      <c r="K45" s="238"/>
      <c r="L45" s="237"/>
    </row>
    <row r="46" spans="1:12" ht="18.75" x14ac:dyDescent="0.3">
      <c r="A46" s="465" t="s">
        <v>25</v>
      </c>
      <c r="B46" s="466"/>
      <c r="C46" s="466"/>
      <c r="D46" s="466"/>
      <c r="E46" s="466"/>
      <c r="F46" s="466"/>
      <c r="G46" s="466"/>
      <c r="H46" s="466"/>
      <c r="I46" s="467"/>
      <c r="J46" s="394"/>
    </row>
    <row r="47" spans="1:12" s="234" customFormat="1" ht="30" x14ac:dyDescent="0.25">
      <c r="A47" s="383">
        <v>1.33</v>
      </c>
      <c r="B47" s="383">
        <v>5.12</v>
      </c>
      <c r="C47" s="383">
        <v>4.0999999999999996</v>
      </c>
      <c r="D47" s="383">
        <v>73.52</v>
      </c>
      <c r="E47" s="382" t="s">
        <v>709</v>
      </c>
      <c r="F47" s="242" t="s">
        <v>710</v>
      </c>
      <c r="G47" s="211" t="str">
        <f>IFERROR(VLOOKUP(F47,[2]Реестр!A:K,2,0),"")</f>
        <v/>
      </c>
      <c r="H47" s="210">
        <v>80</v>
      </c>
      <c r="I47" s="230">
        <v>44.94</v>
      </c>
      <c r="J47" s="239" t="s">
        <v>538</v>
      </c>
    </row>
    <row r="48" spans="1:12" ht="18.75" x14ac:dyDescent="0.3">
      <c r="A48" s="263">
        <v>4.1100000000000003</v>
      </c>
      <c r="B48" s="263">
        <v>4.7699999999999996</v>
      </c>
      <c r="C48" s="263">
        <v>19.5</v>
      </c>
      <c r="D48" s="263">
        <v>143.13</v>
      </c>
      <c r="E48" s="242" t="s">
        <v>711</v>
      </c>
      <c r="F48" s="242" t="s">
        <v>716</v>
      </c>
      <c r="G48" s="211" t="str">
        <f>IFERROR(VLOOKUP(F48,[2]Реестр!A:K,2,0),"")</f>
        <v/>
      </c>
      <c r="H48" s="206">
        <v>250</v>
      </c>
      <c r="I48" s="207">
        <v>50</v>
      </c>
      <c r="J48" s="394" t="s">
        <v>478</v>
      </c>
    </row>
    <row r="49" spans="1:11" ht="18.75" x14ac:dyDescent="0.3">
      <c r="A49" s="263">
        <v>15.55</v>
      </c>
      <c r="B49" s="263">
        <v>15.4</v>
      </c>
      <c r="C49" s="263">
        <v>57.1</v>
      </c>
      <c r="D49" s="263">
        <v>364.2</v>
      </c>
      <c r="E49" s="242" t="s">
        <v>712</v>
      </c>
      <c r="F49" s="242" t="s">
        <v>713</v>
      </c>
      <c r="G49" s="211" t="str">
        <f>IFERROR(VLOOKUP(F49,[2]Реестр!A:K,2,0),"")</f>
        <v/>
      </c>
      <c r="H49" s="206">
        <v>200</v>
      </c>
      <c r="I49" s="206">
        <v>102.59</v>
      </c>
      <c r="J49" s="394" t="s">
        <v>537</v>
      </c>
    </row>
    <row r="50" spans="1:11" ht="18.75" x14ac:dyDescent="0.3">
      <c r="A50" s="263">
        <v>0.18</v>
      </c>
      <c r="B50" s="263">
        <v>0.05</v>
      </c>
      <c r="C50" s="263">
        <v>0.32</v>
      </c>
      <c r="D50" s="263">
        <v>37.582527999999996</v>
      </c>
      <c r="E50" s="242" t="s">
        <v>714</v>
      </c>
      <c r="F50" s="242" t="s">
        <v>328</v>
      </c>
      <c r="G50" s="211">
        <f>IFERROR(VLOOKUP(F50,[2]Реестр!A:K,2,0),"")</f>
        <v>200</v>
      </c>
      <c r="H50" s="206">
        <v>200</v>
      </c>
      <c r="I50" s="207">
        <v>19.54</v>
      </c>
      <c r="J50" s="394" t="s">
        <v>29</v>
      </c>
    </row>
    <row r="51" spans="1:11" ht="18.75" x14ac:dyDescent="0.3">
      <c r="A51" s="264">
        <v>3.3</v>
      </c>
      <c r="B51" s="264">
        <v>0.3</v>
      </c>
      <c r="C51" s="264">
        <v>23.4</v>
      </c>
      <c r="D51" s="264">
        <v>112</v>
      </c>
      <c r="E51" s="242" t="s">
        <v>471</v>
      </c>
      <c r="F51" s="242" t="s">
        <v>715</v>
      </c>
      <c r="G51" s="211" t="str">
        <f>IFERROR(VLOOKUP(F51,[2]Реестр!A:K,2,0),"")</f>
        <v/>
      </c>
      <c r="H51" s="206">
        <v>50</v>
      </c>
      <c r="I51" s="207">
        <v>4.5</v>
      </c>
      <c r="J51" s="394" t="s">
        <v>479</v>
      </c>
    </row>
    <row r="52" spans="1:11" ht="18.75" x14ac:dyDescent="0.3">
      <c r="A52" s="241">
        <v>2</v>
      </c>
      <c r="B52" s="241">
        <v>0.4</v>
      </c>
      <c r="C52" s="241">
        <v>10</v>
      </c>
      <c r="D52" s="241">
        <v>58</v>
      </c>
      <c r="E52" s="381" t="s">
        <v>471</v>
      </c>
      <c r="F52" s="381" t="s">
        <v>707</v>
      </c>
      <c r="G52" s="211" t="str">
        <f>IFERROR(VLOOKUP(F52,[2]Реестр!A:K,2,0),"")</f>
        <v/>
      </c>
      <c r="H52" s="206">
        <v>30</v>
      </c>
      <c r="I52" s="203">
        <v>2.7</v>
      </c>
      <c r="J52" s="394" t="s">
        <v>539</v>
      </c>
    </row>
    <row r="53" spans="1:11" ht="18.75" x14ac:dyDescent="0.3">
      <c r="A53" s="196"/>
      <c r="B53" s="196"/>
      <c r="C53" s="196"/>
      <c r="D53" s="196"/>
      <c r="E53" s="214"/>
      <c r="F53" s="204"/>
      <c r="G53" s="199"/>
      <c r="H53" s="200"/>
      <c r="I53" s="203"/>
      <c r="J53" s="394" t="s">
        <v>540</v>
      </c>
    </row>
    <row r="54" spans="1:11" ht="18.75" x14ac:dyDescent="0.3">
      <c r="A54" s="464" t="s">
        <v>16</v>
      </c>
      <c r="B54" s="464"/>
      <c r="C54" s="464"/>
      <c r="D54" s="464"/>
      <c r="E54" s="464"/>
      <c r="F54" s="464"/>
      <c r="G54" s="206"/>
      <c r="H54" s="206"/>
      <c r="I54" s="207">
        <f>SUM(I41:I45,I47:I53)</f>
        <v>373.78999999999996</v>
      </c>
      <c r="J54" s="206">
        <v>212.99</v>
      </c>
      <c r="K54" s="208">
        <f>I54-J54</f>
        <v>160.79999999999995</v>
      </c>
    </row>
    <row r="55" spans="1:11" ht="18.75" x14ac:dyDescent="0.3">
      <c r="A55" s="465" t="s">
        <v>33</v>
      </c>
      <c r="B55" s="466"/>
      <c r="C55" s="466"/>
      <c r="D55" s="466"/>
      <c r="E55" s="466"/>
      <c r="F55" s="466"/>
      <c r="G55" s="466"/>
      <c r="H55" s="466"/>
      <c r="I55" s="467"/>
      <c r="J55" s="394"/>
    </row>
    <row r="56" spans="1:11" ht="18.75" x14ac:dyDescent="0.3">
      <c r="A56" s="465" t="s">
        <v>19</v>
      </c>
      <c r="B56" s="466"/>
      <c r="C56" s="466"/>
      <c r="D56" s="466"/>
      <c r="E56" s="466"/>
      <c r="F56" s="466"/>
      <c r="G56" s="466"/>
      <c r="H56" s="466"/>
      <c r="I56" s="467"/>
      <c r="J56" s="394"/>
    </row>
    <row r="57" spans="1:11" ht="18.75" x14ac:dyDescent="0.3">
      <c r="A57" s="243">
        <v>3.76</v>
      </c>
      <c r="B57" s="243">
        <v>3.05</v>
      </c>
      <c r="C57" s="243">
        <v>15.15</v>
      </c>
      <c r="D57" s="243">
        <v>112.3</v>
      </c>
      <c r="E57" s="242" t="str">
        <f>"1/50"</f>
        <v>1/50</v>
      </c>
      <c r="F57" s="242" t="s">
        <v>718</v>
      </c>
      <c r="G57" s="211" t="str">
        <f>IFERROR(VLOOKUP(F57,[1]Реестр!A:K,2,0),"")</f>
        <v/>
      </c>
      <c r="H57" s="210">
        <v>30</v>
      </c>
      <c r="I57" s="207">
        <v>38.369999999999997</v>
      </c>
      <c r="J57" s="394" t="s">
        <v>20</v>
      </c>
    </row>
    <row r="58" spans="1:11" ht="18.75" x14ac:dyDescent="0.3">
      <c r="A58" s="243">
        <v>16.39</v>
      </c>
      <c r="B58" s="243">
        <v>19.7</v>
      </c>
      <c r="C58" s="243">
        <v>41.3</v>
      </c>
      <c r="D58" s="243">
        <v>392.3</v>
      </c>
      <c r="E58" s="242" t="str">
        <f>"4/56"</f>
        <v>4/56</v>
      </c>
      <c r="F58" s="242" t="s">
        <v>705</v>
      </c>
      <c r="G58" s="211"/>
      <c r="H58" s="210">
        <v>200</v>
      </c>
      <c r="I58" s="207">
        <v>101.94</v>
      </c>
      <c r="J58" s="394" t="s">
        <v>537</v>
      </c>
    </row>
    <row r="59" spans="1:11" ht="18.75" x14ac:dyDescent="0.3">
      <c r="A59" s="243">
        <v>0.18</v>
      </c>
      <c r="B59" s="243">
        <v>0.04</v>
      </c>
      <c r="C59" s="243">
        <v>13.75</v>
      </c>
      <c r="D59" s="243">
        <v>53.136642799999997</v>
      </c>
      <c r="E59" s="242" t="str">
        <f>"11/56"</f>
        <v>11/56</v>
      </c>
      <c r="F59" s="242" t="s">
        <v>499</v>
      </c>
      <c r="G59" s="211"/>
      <c r="H59" s="210">
        <v>200</v>
      </c>
      <c r="I59" s="207">
        <v>8.15</v>
      </c>
      <c r="J59" s="394" t="s">
        <v>477</v>
      </c>
    </row>
    <row r="60" spans="1:11" ht="18.75" x14ac:dyDescent="0.3">
      <c r="A60" s="264">
        <v>2</v>
      </c>
      <c r="B60" s="264">
        <v>0.4</v>
      </c>
      <c r="C60" s="264">
        <v>10</v>
      </c>
      <c r="D60" s="264">
        <v>58</v>
      </c>
      <c r="E60" s="381" t="str">
        <f>"-"</f>
        <v>-</v>
      </c>
      <c r="F60" s="381" t="s">
        <v>707</v>
      </c>
      <c r="G60" s="211"/>
      <c r="H60" s="206">
        <v>30</v>
      </c>
      <c r="I60" s="207">
        <v>2.7</v>
      </c>
      <c r="J60" s="394" t="s">
        <v>541</v>
      </c>
      <c r="K60" s="237"/>
    </row>
    <row r="61" spans="1:11" ht="18.75" x14ac:dyDescent="0.3">
      <c r="A61" s="264">
        <v>0.52</v>
      </c>
      <c r="B61" s="264">
        <v>0.52</v>
      </c>
      <c r="C61" s="264">
        <v>15.08</v>
      </c>
      <c r="D61" s="264">
        <v>63.283999999999985</v>
      </c>
      <c r="E61" s="381" t="str">
        <f>"-"</f>
        <v>-</v>
      </c>
      <c r="F61" s="381" t="s">
        <v>708</v>
      </c>
      <c r="G61" s="211"/>
      <c r="H61" s="206">
        <v>130</v>
      </c>
      <c r="I61" s="207">
        <v>25.78</v>
      </c>
      <c r="J61" s="394" t="s">
        <v>475</v>
      </c>
      <c r="K61" s="237"/>
    </row>
    <row r="62" spans="1:11" ht="18.75" x14ac:dyDescent="0.3">
      <c r="A62" s="465" t="s">
        <v>25</v>
      </c>
      <c r="B62" s="466"/>
      <c r="C62" s="466"/>
      <c r="D62" s="466"/>
      <c r="E62" s="466"/>
      <c r="F62" s="466"/>
      <c r="G62" s="466"/>
      <c r="H62" s="466"/>
      <c r="I62" s="467"/>
      <c r="J62" s="201" t="str">
        <f>IFERROR(VLOOKUP(O62,Реестр!#REF!,3,0)*Q62/P62,"")</f>
        <v/>
      </c>
      <c r="K62" s="237"/>
    </row>
    <row r="63" spans="1:11" s="234" customFormat="1" ht="30" x14ac:dyDescent="0.25">
      <c r="A63" s="383">
        <v>2.2999999999999998</v>
      </c>
      <c r="B63" s="383">
        <v>6.01</v>
      </c>
      <c r="C63" s="383">
        <v>4.01</v>
      </c>
      <c r="D63" s="383">
        <v>72.147796</v>
      </c>
      <c r="E63" s="242" t="s">
        <v>709</v>
      </c>
      <c r="F63" s="242" t="s">
        <v>710</v>
      </c>
      <c r="G63" s="211" t="str">
        <f>IFERROR(VLOOKUP(F63,[2]Реестр!A:K,2,0),"")</f>
        <v/>
      </c>
      <c r="H63" s="210">
        <v>100</v>
      </c>
      <c r="I63" s="230">
        <v>56.17</v>
      </c>
      <c r="J63" s="239" t="s">
        <v>538</v>
      </c>
      <c r="K63" s="240"/>
    </row>
    <row r="64" spans="1:11" ht="18.75" x14ac:dyDescent="0.3">
      <c r="A64" s="263">
        <v>4.1100000000000003</v>
      </c>
      <c r="B64" s="263">
        <v>4.7699999999999996</v>
      </c>
      <c r="C64" s="263">
        <v>26.5</v>
      </c>
      <c r="D64" s="263">
        <v>213.5</v>
      </c>
      <c r="E64" s="242" t="s">
        <v>711</v>
      </c>
      <c r="F64" s="242" t="s">
        <v>716</v>
      </c>
      <c r="G64" s="211" t="str">
        <f>IFERROR(VLOOKUP(F64,[2]Реестр!A:K,2,0),"")</f>
        <v/>
      </c>
      <c r="H64" s="206">
        <v>250</v>
      </c>
      <c r="I64" s="207">
        <v>50</v>
      </c>
      <c r="J64" s="394" t="s">
        <v>478</v>
      </c>
      <c r="K64" s="237"/>
    </row>
    <row r="65" spans="1:12" ht="18.75" x14ac:dyDescent="0.3">
      <c r="A65" s="348">
        <v>17.5</v>
      </c>
      <c r="B65" s="348">
        <v>15.6</v>
      </c>
      <c r="C65" s="348">
        <v>42.3</v>
      </c>
      <c r="D65" s="348">
        <v>265.7</v>
      </c>
      <c r="E65" s="242" t="s">
        <v>712</v>
      </c>
      <c r="F65" s="242" t="s">
        <v>713</v>
      </c>
      <c r="G65" s="211" t="str">
        <f>IFERROR(VLOOKUP(F65,[2]Реестр!A:K,2,0),"")</f>
        <v/>
      </c>
      <c r="H65" s="206">
        <v>250</v>
      </c>
      <c r="I65" s="206">
        <v>130.94</v>
      </c>
      <c r="J65" s="394" t="s">
        <v>537</v>
      </c>
      <c r="K65" s="237"/>
    </row>
    <row r="66" spans="1:12" ht="18.75" x14ac:dyDescent="0.3">
      <c r="A66" s="263">
        <v>3.94</v>
      </c>
      <c r="B66" s="263">
        <v>5.1100000000000003</v>
      </c>
      <c r="C66" s="263">
        <v>27.5</v>
      </c>
      <c r="D66" s="263">
        <v>170.19544859999999</v>
      </c>
      <c r="E66" s="242" t="s">
        <v>714</v>
      </c>
      <c r="F66" s="386" t="s">
        <v>328</v>
      </c>
      <c r="G66" s="211">
        <f>IFERROR(VLOOKUP(F66,[2]Реестр!A:K,2,0),"")</f>
        <v>200</v>
      </c>
      <c r="H66" s="206">
        <v>200</v>
      </c>
      <c r="I66" s="207">
        <v>19.54</v>
      </c>
      <c r="J66" s="394" t="s">
        <v>29</v>
      </c>
      <c r="K66" s="237"/>
    </row>
    <row r="67" spans="1:12" ht="18.75" x14ac:dyDescent="0.3">
      <c r="A67" s="264">
        <v>0.14000000000000001</v>
      </c>
      <c r="B67" s="264">
        <v>0.1</v>
      </c>
      <c r="C67" s="264">
        <v>1.5</v>
      </c>
      <c r="D67" s="264">
        <v>83.962620000000015</v>
      </c>
      <c r="E67" s="242" t="s">
        <v>471</v>
      </c>
      <c r="F67" s="242" t="s">
        <v>715</v>
      </c>
      <c r="G67" s="211" t="str">
        <f>IFERROR(VLOOKUP(F67,[2]Реестр!A:K,2,0),"")</f>
        <v/>
      </c>
      <c r="H67" s="206">
        <v>50</v>
      </c>
      <c r="I67" s="207">
        <v>4.5</v>
      </c>
      <c r="J67" s="394" t="s">
        <v>479</v>
      </c>
      <c r="K67" s="208"/>
    </row>
    <row r="68" spans="1:12" ht="18.75" x14ac:dyDescent="0.3">
      <c r="A68" s="264">
        <v>3.3</v>
      </c>
      <c r="B68" s="264">
        <v>0.3</v>
      </c>
      <c r="C68" s="264">
        <v>23.4</v>
      </c>
      <c r="D68" s="264">
        <v>112</v>
      </c>
      <c r="E68" s="381" t="s">
        <v>471</v>
      </c>
      <c r="F68" s="381" t="s">
        <v>707</v>
      </c>
      <c r="G68" s="211" t="str">
        <f>IFERROR(VLOOKUP(F68,[2]Реестр!A:K,2,0),"")</f>
        <v/>
      </c>
      <c r="H68" s="206">
        <v>50</v>
      </c>
      <c r="I68" s="207">
        <v>4.25</v>
      </c>
      <c r="J68" s="394" t="s">
        <v>23</v>
      </c>
    </row>
    <row r="69" spans="1:12" ht="18.75" hidden="1" x14ac:dyDescent="0.3">
      <c r="A69" s="209"/>
      <c r="B69" s="209"/>
      <c r="C69" s="209"/>
      <c r="D69" s="209"/>
      <c r="E69" s="218"/>
      <c r="F69" s="217"/>
      <c r="G69" s="211"/>
      <c r="H69" s="206"/>
      <c r="I69" s="207"/>
      <c r="J69" s="394" t="s">
        <v>540</v>
      </c>
    </row>
    <row r="70" spans="1:12" ht="18" customHeight="1" x14ac:dyDescent="0.3">
      <c r="A70" s="464" t="s">
        <v>16</v>
      </c>
      <c r="B70" s="464"/>
      <c r="C70" s="464"/>
      <c r="D70" s="464"/>
      <c r="E70" s="464"/>
      <c r="F70" s="464"/>
      <c r="G70" s="206"/>
      <c r="H70" s="206"/>
      <c r="I70" s="207">
        <f>SUM(I57:I61)+SUM(I63:I69)</f>
        <v>442.34000000000003</v>
      </c>
      <c r="J70" s="201">
        <v>246.31</v>
      </c>
      <c r="K70" s="208">
        <f>J70-I70</f>
        <v>-196.03000000000003</v>
      </c>
    </row>
    <row r="71" spans="1:12" ht="18.75" x14ac:dyDescent="0.3">
      <c r="A71" s="465" t="s">
        <v>34</v>
      </c>
      <c r="B71" s="466"/>
      <c r="C71" s="466"/>
      <c r="D71" s="466"/>
      <c r="E71" s="466"/>
      <c r="F71" s="466"/>
      <c r="G71" s="466"/>
      <c r="H71" s="466"/>
      <c r="I71" s="467"/>
      <c r="J71" s="206"/>
      <c r="K71" s="208"/>
    </row>
    <row r="72" spans="1:12" ht="18.75" x14ac:dyDescent="0.25">
      <c r="A72" s="263">
        <v>0.48</v>
      </c>
      <c r="B72" s="263">
        <v>2.37</v>
      </c>
      <c r="C72" s="263">
        <v>3.09</v>
      </c>
      <c r="D72" s="263">
        <v>36.64</v>
      </c>
      <c r="E72" s="384" t="str">
        <f>"7/26"</f>
        <v>7/26</v>
      </c>
      <c r="F72" s="385" t="s">
        <v>717</v>
      </c>
      <c r="G72" s="211" t="str">
        <f>IFERROR(VLOOKUP(F72,[1]Реестр!A:K,2,0),"")</f>
        <v/>
      </c>
      <c r="H72" s="210">
        <v>30</v>
      </c>
      <c r="I72" s="230">
        <v>19.260000000000002</v>
      </c>
    </row>
    <row r="73" spans="1:12" ht="18.75" x14ac:dyDescent="0.3">
      <c r="A73" s="348">
        <v>19.440000000000001</v>
      </c>
      <c r="B73" s="348">
        <v>19.420000000000002</v>
      </c>
      <c r="C73" s="348">
        <v>57.63</v>
      </c>
      <c r="D73" s="348">
        <v>436.2</v>
      </c>
      <c r="E73" s="242" t="s">
        <v>712</v>
      </c>
      <c r="F73" s="242" t="s">
        <v>713</v>
      </c>
      <c r="G73" s="211" t="str">
        <f>IFERROR(VLOOKUP(F73,[2]Реестр!A:K,2,0),"")</f>
        <v/>
      </c>
      <c r="H73" s="206">
        <v>250</v>
      </c>
      <c r="I73" s="206">
        <v>130.94</v>
      </c>
    </row>
    <row r="74" spans="1:12" ht="18.75" x14ac:dyDescent="0.3">
      <c r="A74" s="263">
        <v>0.18</v>
      </c>
      <c r="B74" s="263">
        <v>0.05</v>
      </c>
      <c r="C74" s="263">
        <v>0.32</v>
      </c>
      <c r="D74" s="263">
        <v>37.582527999999996</v>
      </c>
      <c r="E74" s="242" t="s">
        <v>714</v>
      </c>
      <c r="F74" s="386" t="s">
        <v>328</v>
      </c>
      <c r="G74" s="211">
        <f>IFERROR(VLOOKUP(F74,[2]Реестр!A:K,2,0),"")</f>
        <v>200</v>
      </c>
      <c r="H74" s="206">
        <v>200</v>
      </c>
      <c r="I74" s="207">
        <v>19.54</v>
      </c>
    </row>
    <row r="75" spans="1:12" ht="18.75" x14ac:dyDescent="0.3">
      <c r="A75" s="264">
        <v>3.3</v>
      </c>
      <c r="B75" s="264">
        <v>0.3</v>
      </c>
      <c r="C75" s="264">
        <v>23.4</v>
      </c>
      <c r="D75" s="264">
        <v>112</v>
      </c>
      <c r="E75" s="242" t="str">
        <f>"-"</f>
        <v>-</v>
      </c>
      <c r="F75" s="387" t="s">
        <v>715</v>
      </c>
      <c r="G75" s="211" t="str">
        <f>IFERROR(VLOOKUP(F75,[2]Реестр!A:K,2,0),"")</f>
        <v/>
      </c>
      <c r="H75" s="206">
        <v>50</v>
      </c>
      <c r="I75" s="207">
        <v>4.5</v>
      </c>
    </row>
    <row r="76" spans="1:12" ht="18.75" x14ac:dyDescent="0.3">
      <c r="A76" s="264">
        <v>2</v>
      </c>
      <c r="B76" s="264">
        <v>0.4</v>
      </c>
      <c r="C76" s="264">
        <v>10</v>
      </c>
      <c r="D76" s="264">
        <v>58</v>
      </c>
      <c r="E76" s="381" t="str">
        <f>"-"</f>
        <v>-</v>
      </c>
      <c r="F76" s="381" t="s">
        <v>707</v>
      </c>
      <c r="G76" s="211" t="str">
        <f>IFERROR(VLOOKUP(F76,[2]Реестр!A:K,2,0),"")</f>
        <v/>
      </c>
      <c r="H76" s="206">
        <v>30</v>
      </c>
      <c r="I76" s="207">
        <v>2.7</v>
      </c>
    </row>
    <row r="77" spans="1:12" ht="18.75" hidden="1" x14ac:dyDescent="0.3">
      <c r="A77" s="196"/>
      <c r="B77" s="196"/>
      <c r="C77" s="196"/>
      <c r="D77" s="196"/>
      <c r="E77" s="197"/>
      <c r="F77" s="204"/>
      <c r="G77" s="199"/>
      <c r="H77" s="200"/>
      <c r="I77" s="203"/>
    </row>
    <row r="78" spans="1:12" ht="18.75" x14ac:dyDescent="0.3">
      <c r="A78" s="453" t="s">
        <v>16</v>
      </c>
      <c r="B78" s="454"/>
      <c r="C78" s="454"/>
      <c r="D78" s="454"/>
      <c r="E78" s="454"/>
      <c r="F78" s="455"/>
      <c r="G78" s="205"/>
      <c r="H78" s="206"/>
      <c r="I78" s="207">
        <f>SUM(I72:I77)</f>
        <v>176.93999999999997</v>
      </c>
      <c r="J78" s="215">
        <v>98.52</v>
      </c>
      <c r="L78" s="208">
        <f>J78-I78</f>
        <v>-78.419999999999973</v>
      </c>
    </row>
    <row r="79" spans="1:12" ht="18.75" x14ac:dyDescent="0.25">
      <c r="A79" s="477" t="s">
        <v>35</v>
      </c>
      <c r="B79" s="478"/>
      <c r="C79" s="478"/>
      <c r="D79" s="478"/>
      <c r="E79" s="478"/>
      <c r="F79" s="478"/>
      <c r="G79" s="478"/>
      <c r="H79" s="478"/>
      <c r="I79" s="479"/>
    </row>
    <row r="80" spans="1:12" ht="18.75" x14ac:dyDescent="0.3">
      <c r="A80" s="219">
        <v>7.7</v>
      </c>
      <c r="B80" s="219">
        <v>7.42</v>
      </c>
      <c r="C80" s="219">
        <v>32.090000000000003</v>
      </c>
      <c r="D80" s="219">
        <v>225.88</v>
      </c>
      <c r="E80" s="416" t="s">
        <v>408</v>
      </c>
      <c r="F80" s="406" t="s">
        <v>529</v>
      </c>
      <c r="G80" s="211">
        <f>IFERROR(VLOOKUP(F80,[2]Реестр!A:K,2,0),"")</f>
        <v>100</v>
      </c>
      <c r="H80" s="206">
        <v>80</v>
      </c>
      <c r="I80" s="207">
        <v>50</v>
      </c>
      <c r="K80" s="208"/>
    </row>
    <row r="81" spans="1:12" ht="18.75" x14ac:dyDescent="0.3">
      <c r="A81" s="453" t="s">
        <v>16</v>
      </c>
      <c r="B81" s="454"/>
      <c r="C81" s="454"/>
      <c r="D81" s="454"/>
      <c r="E81" s="454"/>
      <c r="F81" s="455"/>
      <c r="G81" s="205"/>
      <c r="H81" s="206"/>
      <c r="I81" s="207">
        <f>I80</f>
        <v>50</v>
      </c>
      <c r="J81" s="215">
        <v>29</v>
      </c>
    </row>
    <row r="82" spans="1:12" ht="18.75" x14ac:dyDescent="0.3">
      <c r="A82" s="465" t="s">
        <v>36</v>
      </c>
      <c r="B82" s="466"/>
      <c r="C82" s="466"/>
      <c r="D82" s="466"/>
      <c r="E82" s="466"/>
      <c r="F82" s="466"/>
      <c r="G82" s="466"/>
      <c r="H82" s="466"/>
      <c r="I82" s="467"/>
    </row>
    <row r="83" spans="1:12" ht="18.75" x14ac:dyDescent="0.3">
      <c r="A83" s="263">
        <v>4.1100000000000003</v>
      </c>
      <c r="B83" s="263">
        <v>4.7699999999999996</v>
      </c>
      <c r="C83" s="263">
        <v>26.5</v>
      </c>
      <c r="D83" s="263">
        <v>213.5</v>
      </c>
      <c r="E83" s="242" t="s">
        <v>711</v>
      </c>
      <c r="F83" s="242" t="s">
        <v>716</v>
      </c>
      <c r="G83" s="211" t="str">
        <f>IFERROR(VLOOKUP(F83,[2]Реестр!A:K,2,0),"")</f>
        <v/>
      </c>
      <c r="H83" s="206">
        <v>250</v>
      </c>
      <c r="I83" s="207">
        <v>50</v>
      </c>
    </row>
    <row r="84" spans="1:12" ht="18.75" x14ac:dyDescent="0.3">
      <c r="A84" s="453" t="s">
        <v>16</v>
      </c>
      <c r="B84" s="454"/>
      <c r="C84" s="454"/>
      <c r="D84" s="454"/>
      <c r="E84" s="454"/>
      <c r="F84" s="455"/>
      <c r="G84" s="205"/>
      <c r="H84" s="206"/>
      <c r="I84" s="207">
        <f>SUM(I83:I83)</f>
        <v>50</v>
      </c>
      <c r="J84" s="215">
        <v>27</v>
      </c>
    </row>
    <row r="85" spans="1:12" ht="18.75" hidden="1" x14ac:dyDescent="0.3">
      <c r="A85" s="465" t="s">
        <v>503</v>
      </c>
      <c r="B85" s="466"/>
      <c r="C85" s="466"/>
      <c r="D85" s="466"/>
      <c r="E85" s="466"/>
      <c r="F85" s="466"/>
      <c r="G85" s="466"/>
      <c r="H85" s="466"/>
      <c r="I85" s="467"/>
    </row>
    <row r="86" spans="1:12" s="234" customFormat="1" ht="27" hidden="1" customHeight="1" x14ac:dyDescent="0.25">
      <c r="A86" s="368">
        <v>1.29</v>
      </c>
      <c r="B86" s="368">
        <v>5.97</v>
      </c>
      <c r="C86" s="368">
        <v>7.97</v>
      </c>
      <c r="D86" s="368">
        <v>86.23</v>
      </c>
      <c r="E86" s="357" t="str">
        <f>"7/80"</f>
        <v>7/80</v>
      </c>
      <c r="F86" s="228" t="s">
        <v>680</v>
      </c>
      <c r="G86" s="211" t="str">
        <f>IFERROR(VLOOKUP(F86,[2]Реестр!A:K,2,0),"")</f>
        <v/>
      </c>
      <c r="H86" s="210">
        <v>100</v>
      </c>
      <c r="I86" s="230">
        <v>52.76</v>
      </c>
      <c r="J86" s="268"/>
    </row>
    <row r="87" spans="1:12" ht="18.75" hidden="1" x14ac:dyDescent="0.3">
      <c r="A87" s="263">
        <v>12.44</v>
      </c>
      <c r="B87" s="263">
        <v>7.77</v>
      </c>
      <c r="C87" s="263">
        <v>25.16</v>
      </c>
      <c r="D87" s="263">
        <v>208</v>
      </c>
      <c r="E87" s="267" t="str">
        <f>"6/70"</f>
        <v>6/70</v>
      </c>
      <c r="F87" s="267" t="s">
        <v>220</v>
      </c>
      <c r="G87" s="211" t="str">
        <f>IFERROR(VLOOKUP(F87,[2]Реестр!A:K,2,0),"")</f>
        <v>300</v>
      </c>
      <c r="H87" s="206">
        <v>250</v>
      </c>
      <c r="I87" s="207">
        <v>50</v>
      </c>
    </row>
    <row r="88" spans="1:12" ht="18.75" hidden="1" x14ac:dyDescent="0.3">
      <c r="A88" s="348">
        <v>19.440000000000001</v>
      </c>
      <c r="B88" s="348">
        <v>21.37</v>
      </c>
      <c r="C88" s="348">
        <v>55.36</v>
      </c>
      <c r="D88" s="348">
        <v>508.5</v>
      </c>
      <c r="E88" s="349" t="str">
        <f>"8/35"</f>
        <v>8/35</v>
      </c>
      <c r="F88" s="349" t="s">
        <v>549</v>
      </c>
      <c r="G88" s="211" t="str">
        <f>IFERROR(VLOOKUP(F88,[2]Реестр!A:K,2,0),"")</f>
        <v/>
      </c>
      <c r="H88" s="206">
        <v>250</v>
      </c>
      <c r="I88" s="206">
        <v>140.84</v>
      </c>
    </row>
    <row r="89" spans="1:12" ht="18.75" hidden="1" x14ac:dyDescent="0.3">
      <c r="A89" s="263">
        <v>0.14000000000000001</v>
      </c>
      <c r="B89" s="263">
        <v>0.1</v>
      </c>
      <c r="C89" s="263">
        <v>1.5</v>
      </c>
      <c r="D89" s="263">
        <v>83.962620000000015</v>
      </c>
      <c r="E89" s="349" t="str">
        <f>"11/1"</f>
        <v>11/1</v>
      </c>
      <c r="F89" s="349" t="s">
        <v>317</v>
      </c>
      <c r="G89" s="211">
        <f>IFERROR(VLOOKUP(F89,[2]Реестр!A:K,2,0),"")</f>
        <v>200</v>
      </c>
      <c r="H89" s="206">
        <v>200</v>
      </c>
      <c r="I89" s="207">
        <v>12.8</v>
      </c>
    </row>
    <row r="90" spans="1:12" ht="18.75" hidden="1" x14ac:dyDescent="0.3">
      <c r="A90" s="209">
        <v>3.3</v>
      </c>
      <c r="B90" s="209">
        <v>0.3</v>
      </c>
      <c r="C90" s="209">
        <v>23.4</v>
      </c>
      <c r="D90" s="209">
        <v>112</v>
      </c>
      <c r="E90" s="210" t="s">
        <v>471</v>
      </c>
      <c r="F90" s="217" t="s">
        <v>66</v>
      </c>
      <c r="G90" s="211" t="str">
        <f>IFERROR(VLOOKUP(F90,[2]Реестр!A:K,2,0),"")</f>
        <v>100</v>
      </c>
      <c r="H90" s="206">
        <v>50</v>
      </c>
      <c r="I90" s="207">
        <v>4.5</v>
      </c>
    </row>
    <row r="91" spans="1:12" ht="18.75" hidden="1" x14ac:dyDescent="0.3">
      <c r="A91" s="209">
        <v>3.3</v>
      </c>
      <c r="B91" s="209">
        <v>0.6</v>
      </c>
      <c r="C91" s="209">
        <v>16.7</v>
      </c>
      <c r="D91" s="209">
        <v>96.5</v>
      </c>
      <c r="E91" s="210" t="s">
        <v>471</v>
      </c>
      <c r="F91" s="217" t="s">
        <v>65</v>
      </c>
      <c r="G91" s="211" t="str">
        <f>IFERROR(VLOOKUP(F91,[2]Реестр!A:K,2,0),"")</f>
        <v>100</v>
      </c>
      <c r="H91" s="206">
        <v>50</v>
      </c>
      <c r="I91" s="207">
        <v>4.5</v>
      </c>
    </row>
    <row r="92" spans="1:12" ht="18.75" hidden="1" x14ac:dyDescent="0.3">
      <c r="A92" s="196"/>
      <c r="B92" s="196"/>
      <c r="C92" s="196"/>
      <c r="D92" s="196"/>
      <c r="E92" s="214"/>
      <c r="F92" s="204"/>
      <c r="G92" s="199"/>
      <c r="H92" s="200"/>
      <c r="I92" s="203"/>
      <c r="K92" s="208"/>
    </row>
    <row r="93" spans="1:12" ht="18.75" hidden="1" x14ac:dyDescent="0.3">
      <c r="A93" s="464" t="s">
        <v>16</v>
      </c>
      <c r="B93" s="464"/>
      <c r="C93" s="464"/>
      <c r="D93" s="464"/>
      <c r="E93" s="464"/>
      <c r="F93" s="464"/>
      <c r="G93" s="205"/>
      <c r="H93" s="206"/>
      <c r="I93" s="207">
        <f>SUM(I86:I92)</f>
        <v>265.39999999999998</v>
      </c>
      <c r="J93" s="215">
        <v>147.79</v>
      </c>
      <c r="L93" s="208">
        <f>J93-I93</f>
        <v>-117.60999999999999</v>
      </c>
    </row>
    <row r="94" spans="1:12" ht="18.75" x14ac:dyDescent="0.3">
      <c r="A94" s="462" t="s">
        <v>544</v>
      </c>
      <c r="B94" s="462"/>
      <c r="C94" s="462"/>
      <c r="D94" s="462"/>
      <c r="E94" s="462"/>
      <c r="F94" s="462"/>
      <c r="G94" s="462"/>
      <c r="H94" s="462"/>
      <c r="I94" s="462"/>
      <c r="K94" s="208"/>
    </row>
    <row r="95" spans="1:12" ht="18.75" x14ac:dyDescent="0.25">
      <c r="A95" s="243">
        <v>3.76</v>
      </c>
      <c r="B95" s="243">
        <v>3.05</v>
      </c>
      <c r="C95" s="243">
        <v>13.8</v>
      </c>
      <c r="D95" s="243">
        <v>93.762559999999993</v>
      </c>
      <c r="E95" s="242" t="s">
        <v>732</v>
      </c>
      <c r="F95" s="387" t="s">
        <v>706</v>
      </c>
      <c r="G95" s="211" t="str">
        <f>IFERROR(VLOOKUP(F95,[1]Реестр!A:K,2,0),"")</f>
        <v/>
      </c>
      <c r="H95" s="243" t="s">
        <v>87</v>
      </c>
      <c r="I95" s="450">
        <v>149.52000000000001</v>
      </c>
      <c r="K95" s="208"/>
    </row>
    <row r="96" spans="1:12" ht="33.75" customHeight="1" x14ac:dyDescent="0.25">
      <c r="A96" s="243">
        <v>13.79</v>
      </c>
      <c r="B96" s="243">
        <v>20.23</v>
      </c>
      <c r="C96" s="243">
        <v>3.57</v>
      </c>
      <c r="D96" s="243">
        <v>251.02964924999998</v>
      </c>
      <c r="E96" s="242" t="s">
        <v>733</v>
      </c>
      <c r="F96" s="387" t="s">
        <v>705</v>
      </c>
      <c r="G96" s="211" t="str">
        <f>IFERROR(VLOOKUP(F96,[1]Реестр!A:K,2,0),"")</f>
        <v/>
      </c>
      <c r="H96" s="243" t="s">
        <v>147</v>
      </c>
      <c r="I96" s="451"/>
      <c r="K96" s="208"/>
    </row>
    <row r="97" spans="1:12" ht="18.75" x14ac:dyDescent="0.25">
      <c r="A97" s="243">
        <v>0.18</v>
      </c>
      <c r="B97" s="243">
        <v>0.04</v>
      </c>
      <c r="C97" s="243">
        <v>13.75</v>
      </c>
      <c r="D97" s="243">
        <v>53.136642799999997</v>
      </c>
      <c r="E97" s="242" t="s">
        <v>734</v>
      </c>
      <c r="F97" s="387" t="s">
        <v>632</v>
      </c>
      <c r="G97" s="211" t="str">
        <f>IFERROR(VLOOKUP(F97,[1]Реестр!A:K,2,0),"")</f>
        <v/>
      </c>
      <c r="H97" s="243" t="s">
        <v>118</v>
      </c>
      <c r="I97" s="451"/>
      <c r="K97" s="208"/>
    </row>
    <row r="98" spans="1:12" ht="18.75" x14ac:dyDescent="0.25">
      <c r="A98" s="241">
        <v>1.32</v>
      </c>
      <c r="B98" s="241">
        <v>0.24</v>
      </c>
      <c r="C98" s="241">
        <v>8.34</v>
      </c>
      <c r="D98" s="241">
        <v>38.676000000000002</v>
      </c>
      <c r="E98" s="381" t="str">
        <f>"-"</f>
        <v>-</v>
      </c>
      <c r="F98" s="381" t="s">
        <v>707</v>
      </c>
      <c r="G98" s="211" t="str">
        <f>IFERROR(VLOOKUP(F98,[1]Реестр!A:K,2,0),"")</f>
        <v/>
      </c>
      <c r="H98" s="264" t="str">
        <f>"20"</f>
        <v>20</v>
      </c>
      <c r="I98" s="451"/>
      <c r="K98" s="208"/>
    </row>
    <row r="99" spans="1:12" ht="18.75" x14ac:dyDescent="0.25">
      <c r="A99" s="241">
        <v>1.32</v>
      </c>
      <c r="B99" s="241">
        <v>0.24</v>
      </c>
      <c r="C99" s="241">
        <v>0</v>
      </c>
      <c r="D99" s="241">
        <v>38.676000000000002</v>
      </c>
      <c r="E99" s="381" t="s">
        <v>471</v>
      </c>
      <c r="F99" s="381" t="s">
        <v>708</v>
      </c>
      <c r="G99" s="211" t="str">
        <f>IFERROR(VLOOKUP(F99,[1]Реестр!A:K,2,0),"")</f>
        <v/>
      </c>
      <c r="H99" s="264" t="s">
        <v>735</v>
      </c>
      <c r="I99" s="452"/>
      <c r="K99" s="208"/>
    </row>
    <row r="100" spans="1:12" ht="18.75" x14ac:dyDescent="0.3">
      <c r="A100" s="464" t="s">
        <v>16</v>
      </c>
      <c r="B100" s="464"/>
      <c r="C100" s="464"/>
      <c r="D100" s="464"/>
      <c r="E100" s="464"/>
      <c r="F100" s="464"/>
      <c r="G100" s="205"/>
      <c r="H100" s="206"/>
      <c r="I100" s="207">
        <f>SUM(I95:I99)</f>
        <v>149.52000000000001</v>
      </c>
      <c r="K100" s="208"/>
    </row>
    <row r="101" spans="1:12" ht="18.75" x14ac:dyDescent="0.3">
      <c r="A101" s="462" t="s">
        <v>545</v>
      </c>
      <c r="B101" s="462"/>
      <c r="C101" s="462"/>
      <c r="D101" s="462"/>
      <c r="E101" s="462"/>
      <c r="F101" s="462"/>
      <c r="G101" s="462"/>
      <c r="H101" s="462"/>
      <c r="I101" s="462"/>
      <c r="J101" s="215">
        <v>85.2</v>
      </c>
      <c r="K101" s="208"/>
      <c r="L101" s="208">
        <f>J101-I101</f>
        <v>85.2</v>
      </c>
    </row>
    <row r="102" spans="1:12" ht="30" x14ac:dyDescent="0.25">
      <c r="A102" s="243">
        <v>17.96</v>
      </c>
      <c r="B102" s="243">
        <v>19.649999999999999</v>
      </c>
      <c r="C102" s="243">
        <v>1.04</v>
      </c>
      <c r="D102" s="243">
        <v>252.59813800000001</v>
      </c>
      <c r="E102" s="242" t="s">
        <v>740</v>
      </c>
      <c r="F102" s="242" t="s">
        <v>741</v>
      </c>
      <c r="G102" s="211" t="str">
        <f>IFERROR(VLOOKUP(F102,[1]Реестр!A:K,2,0),"")</f>
        <v>200</v>
      </c>
      <c r="H102" s="391">
        <v>150</v>
      </c>
      <c r="I102" s="450">
        <v>149.52000000000001</v>
      </c>
      <c r="K102" s="208"/>
    </row>
    <row r="103" spans="1:12" ht="18.75" customHeight="1" x14ac:dyDescent="0.25">
      <c r="A103" s="243">
        <v>0.18</v>
      </c>
      <c r="B103" s="243">
        <v>0.04</v>
      </c>
      <c r="C103" s="243">
        <v>13.75</v>
      </c>
      <c r="D103" s="243">
        <v>53.136642799999997</v>
      </c>
      <c r="E103" s="242" t="s">
        <v>742</v>
      </c>
      <c r="F103" s="242" t="s">
        <v>499</v>
      </c>
      <c r="G103" s="211" t="str">
        <f>IFERROR(VLOOKUP(F103,[1]Реестр!A:K,2,0),"")</f>
        <v>200</v>
      </c>
      <c r="H103" s="243" t="s">
        <v>118</v>
      </c>
      <c r="I103" s="451"/>
      <c r="K103" s="208"/>
    </row>
    <row r="104" spans="1:12" ht="18.75" x14ac:dyDescent="0.25">
      <c r="A104" s="241">
        <v>0.52</v>
      </c>
      <c r="B104" s="241">
        <v>0.52</v>
      </c>
      <c r="C104" s="241">
        <v>15.08</v>
      </c>
      <c r="D104" s="241">
        <v>63.283999999999985</v>
      </c>
      <c r="E104" s="242" t="s">
        <v>471</v>
      </c>
      <c r="F104" s="242" t="s">
        <v>708</v>
      </c>
      <c r="G104" s="211" t="str">
        <f>IFERROR(VLOOKUP(F104,[1]Реестр!A:K,2,0),"")</f>
        <v/>
      </c>
      <c r="H104" s="264" t="s">
        <v>735</v>
      </c>
      <c r="I104" s="451"/>
      <c r="K104" s="208"/>
    </row>
    <row r="105" spans="1:12" ht="18.75" x14ac:dyDescent="0.25">
      <c r="A105" s="241">
        <v>2.64</v>
      </c>
      <c r="B105" s="241">
        <v>0.48</v>
      </c>
      <c r="C105" s="241">
        <v>16.68</v>
      </c>
      <c r="D105" s="241">
        <v>77.352000000000004</v>
      </c>
      <c r="E105" s="242" t="s">
        <v>471</v>
      </c>
      <c r="F105" s="242" t="s">
        <v>715</v>
      </c>
      <c r="G105" s="211" t="str">
        <f>IFERROR(VLOOKUP(F105,[1]Реестр!A:K,2,0),"")</f>
        <v/>
      </c>
      <c r="H105" s="392">
        <v>40</v>
      </c>
      <c r="I105" s="451"/>
      <c r="K105" s="208"/>
    </row>
    <row r="106" spans="1:12" ht="18.75" x14ac:dyDescent="0.25">
      <c r="A106" s="241">
        <v>1.32</v>
      </c>
      <c r="B106" s="241">
        <v>0.24</v>
      </c>
      <c r="C106" s="241">
        <v>8.34</v>
      </c>
      <c r="D106" s="241">
        <v>38.676000000000002</v>
      </c>
      <c r="E106" s="381" t="str">
        <f>"-"</f>
        <v>-</v>
      </c>
      <c r="F106" s="381" t="s">
        <v>707</v>
      </c>
      <c r="G106" s="211" t="str">
        <f>IFERROR(VLOOKUP(F106,[1]Реестр!A:K,2,0),"")</f>
        <v/>
      </c>
      <c r="H106" s="264" t="str">
        <f>"20"</f>
        <v>20</v>
      </c>
      <c r="I106" s="451"/>
      <c r="K106" s="208"/>
    </row>
    <row r="107" spans="1:12" ht="18.75" x14ac:dyDescent="0.3">
      <c r="A107" s="209"/>
      <c r="B107" s="209"/>
      <c r="C107" s="209"/>
      <c r="D107" s="209"/>
      <c r="E107" s="210"/>
      <c r="F107" s="217"/>
      <c r="G107" s="211"/>
      <c r="H107" s="206"/>
      <c r="I107" s="452"/>
      <c r="K107" s="208"/>
    </row>
    <row r="108" spans="1:12" ht="18.75" x14ac:dyDescent="0.3">
      <c r="A108" s="464" t="s">
        <v>16</v>
      </c>
      <c r="B108" s="464"/>
      <c r="C108" s="464"/>
      <c r="D108" s="464"/>
      <c r="E108" s="464"/>
      <c r="F108" s="464"/>
      <c r="G108" s="205"/>
      <c r="H108" s="206"/>
      <c r="I108" s="207">
        <f>SUM(I102)</f>
        <v>149.52000000000001</v>
      </c>
      <c r="K108" s="208"/>
    </row>
    <row r="109" spans="1:12" ht="18.75" x14ac:dyDescent="0.3">
      <c r="A109" s="462" t="s">
        <v>566</v>
      </c>
      <c r="B109" s="462"/>
      <c r="C109" s="462"/>
      <c r="D109" s="462"/>
      <c r="E109" s="462"/>
      <c r="F109" s="462"/>
      <c r="G109" s="462"/>
      <c r="H109" s="462"/>
      <c r="I109" s="462"/>
      <c r="K109" s="208"/>
    </row>
    <row r="110" spans="1:12" ht="30" x14ac:dyDescent="0.25">
      <c r="A110" s="417">
        <v>0.7</v>
      </c>
      <c r="B110" s="243">
        <v>4.8099999999999996</v>
      </c>
      <c r="C110" s="243">
        <v>1.6</v>
      </c>
      <c r="D110" s="243">
        <v>57.718236800000007</v>
      </c>
      <c r="E110" s="242" t="str">
        <f>"7/13/1"</f>
        <v>7/13/1</v>
      </c>
      <c r="F110" s="242" t="s">
        <v>736</v>
      </c>
      <c r="G110" s="211" t="str">
        <f>IFERROR(VLOOKUP(F110,[2]Реестр!A:K,2,0),"")</f>
        <v/>
      </c>
      <c r="H110" s="263" t="s">
        <v>81</v>
      </c>
      <c r="I110" s="450">
        <v>224.27</v>
      </c>
      <c r="K110" s="208"/>
    </row>
    <row r="111" spans="1:12" ht="18.75" x14ac:dyDescent="0.25">
      <c r="A111" s="263">
        <v>4.1100000000000003</v>
      </c>
      <c r="B111" s="263">
        <v>4.7699999999999996</v>
      </c>
      <c r="C111" s="263">
        <v>39.56</v>
      </c>
      <c r="D111" s="263">
        <v>235.36</v>
      </c>
      <c r="E111" s="242" t="s">
        <v>711</v>
      </c>
      <c r="F111" s="242" t="s">
        <v>737</v>
      </c>
      <c r="G111" s="211" t="str">
        <f>IFERROR(VLOOKUP(F111,[2]Реестр!A:K,2,0),"")</f>
        <v/>
      </c>
      <c r="H111" s="243" t="str">
        <f>"250"</f>
        <v>250</v>
      </c>
      <c r="I111" s="451"/>
      <c r="K111" s="208"/>
    </row>
    <row r="112" spans="1:12" ht="18.75" x14ac:dyDescent="0.25">
      <c r="A112" s="263">
        <v>15.55</v>
      </c>
      <c r="B112" s="263">
        <v>15.9</v>
      </c>
      <c r="C112" s="263">
        <v>90.5</v>
      </c>
      <c r="D112" s="263">
        <v>408.6</v>
      </c>
      <c r="E112" s="242" t="s">
        <v>712</v>
      </c>
      <c r="F112" s="242" t="s">
        <v>713</v>
      </c>
      <c r="G112" s="211"/>
      <c r="H112" s="266">
        <v>200</v>
      </c>
      <c r="I112" s="451"/>
      <c r="K112" s="208"/>
    </row>
    <row r="113" spans="1:11" ht="18.75" x14ac:dyDescent="0.25">
      <c r="A113" s="263">
        <v>0.18</v>
      </c>
      <c r="B113" s="263">
        <v>0.05</v>
      </c>
      <c r="C113" s="263">
        <v>9.6300000000000008</v>
      </c>
      <c r="D113" s="263">
        <v>37.582527999999996</v>
      </c>
      <c r="E113" s="242" t="s">
        <v>738</v>
      </c>
      <c r="F113" s="242" t="s">
        <v>739</v>
      </c>
      <c r="G113" s="211"/>
      <c r="H113" s="263" t="s">
        <v>118</v>
      </c>
      <c r="I113" s="451"/>
      <c r="K113" s="208"/>
    </row>
    <row r="114" spans="1:11" ht="18.75" customHeight="1" x14ac:dyDescent="0.25">
      <c r="A114" s="241">
        <v>3.3</v>
      </c>
      <c r="B114" s="241">
        <v>0.6</v>
      </c>
      <c r="C114" s="241">
        <v>20.85</v>
      </c>
      <c r="D114" s="241">
        <v>96.69</v>
      </c>
      <c r="E114" s="242" t="str">
        <f>"-"</f>
        <v>-</v>
      </c>
      <c r="F114" s="242" t="s">
        <v>715</v>
      </c>
      <c r="G114" s="211"/>
      <c r="H114" s="264" t="str">
        <f>"40"</f>
        <v>40</v>
      </c>
      <c r="I114" s="451"/>
      <c r="K114" s="208"/>
    </row>
    <row r="115" spans="1:11" ht="18.75" x14ac:dyDescent="0.25">
      <c r="A115" s="264">
        <v>2.64</v>
      </c>
      <c r="B115" s="264">
        <v>0.48</v>
      </c>
      <c r="C115" s="264">
        <v>16.68</v>
      </c>
      <c r="D115" s="264">
        <v>77.352000000000004</v>
      </c>
      <c r="E115" s="381" t="str">
        <f>"-"</f>
        <v>-</v>
      </c>
      <c r="F115" s="381" t="s">
        <v>707</v>
      </c>
      <c r="G115" s="211" t="str">
        <f>IFERROR(VLOOKUP(F115,[2]Реестр!A:K,2,0),"")</f>
        <v/>
      </c>
      <c r="H115" s="264" t="str">
        <f>"40"</f>
        <v>40</v>
      </c>
      <c r="I115" s="451"/>
      <c r="K115" s="208"/>
    </row>
    <row r="116" spans="1:11" ht="18.75" hidden="1" x14ac:dyDescent="0.25">
      <c r="A116" s="241"/>
      <c r="B116" s="241"/>
      <c r="C116" s="241"/>
      <c r="D116" s="241"/>
      <c r="E116" s="265"/>
      <c r="F116" s="217"/>
      <c r="G116" s="211"/>
      <c r="H116" s="269"/>
      <c r="I116" s="451"/>
      <c r="K116" s="208"/>
    </row>
    <row r="117" spans="1:11" ht="18.75" x14ac:dyDescent="0.3">
      <c r="A117" s="464" t="s">
        <v>16</v>
      </c>
      <c r="B117" s="464"/>
      <c r="C117" s="464"/>
      <c r="D117" s="464"/>
      <c r="E117" s="464"/>
      <c r="F117" s="464"/>
      <c r="G117" s="205"/>
      <c r="H117" s="206"/>
      <c r="I117" s="207">
        <f>SUM(I110:I116)</f>
        <v>224.27</v>
      </c>
      <c r="K117" s="208"/>
    </row>
    <row r="118" spans="1:11" ht="18.75" x14ac:dyDescent="0.3">
      <c r="A118" s="462" t="s">
        <v>550</v>
      </c>
      <c r="B118" s="462"/>
      <c r="C118" s="462"/>
      <c r="D118" s="462"/>
      <c r="E118" s="462"/>
      <c r="F118" s="462"/>
      <c r="G118" s="462"/>
      <c r="H118" s="462"/>
      <c r="I118" s="462"/>
      <c r="K118" s="208"/>
    </row>
    <row r="119" spans="1:11" ht="30" x14ac:dyDescent="0.25">
      <c r="A119" s="417">
        <v>1.33</v>
      </c>
      <c r="B119" s="243">
        <v>5.12</v>
      </c>
      <c r="C119" s="243">
        <v>7.75</v>
      </c>
      <c r="D119" s="243">
        <v>73.52</v>
      </c>
      <c r="E119" s="242" t="s">
        <v>709</v>
      </c>
      <c r="F119" s="242" t="s">
        <v>710</v>
      </c>
      <c r="G119" s="211" t="str">
        <f>IFERROR(VLOOKUP(F119,[2]Реестр!A:K,2,0),"")</f>
        <v/>
      </c>
      <c r="H119" s="210">
        <v>80</v>
      </c>
      <c r="I119" s="450">
        <v>224.27</v>
      </c>
      <c r="K119" s="208"/>
    </row>
    <row r="120" spans="1:11" ht="18.75" x14ac:dyDescent="0.3">
      <c r="A120" s="263">
        <v>4.1100000000000003</v>
      </c>
      <c r="B120" s="263">
        <v>4.7699999999999996</v>
      </c>
      <c r="C120" s="263">
        <v>59.23</v>
      </c>
      <c r="D120" s="263">
        <v>143.13</v>
      </c>
      <c r="E120" s="242" t="str">
        <f>"6/65-1"</f>
        <v>6/65-1</v>
      </c>
      <c r="F120" s="242" t="s">
        <v>731</v>
      </c>
      <c r="G120" s="211" t="str">
        <f>IFERROR(VLOOKUP(F120,[2]Реестр!A:K,2,0),"")</f>
        <v/>
      </c>
      <c r="H120" s="206">
        <v>250</v>
      </c>
      <c r="I120" s="451"/>
      <c r="K120" s="208"/>
    </row>
    <row r="121" spans="1:11" ht="18.75" x14ac:dyDescent="0.3">
      <c r="A121" s="263">
        <v>15.55</v>
      </c>
      <c r="B121" s="263">
        <v>15.9</v>
      </c>
      <c r="C121" s="263">
        <v>90.5</v>
      </c>
      <c r="D121" s="263">
        <v>408.6</v>
      </c>
      <c r="E121" s="242" t="s">
        <v>712</v>
      </c>
      <c r="F121" s="242" t="s">
        <v>713</v>
      </c>
      <c r="G121" s="391">
        <v>200</v>
      </c>
      <c r="H121" s="206">
        <v>200</v>
      </c>
      <c r="I121" s="451"/>
      <c r="K121" s="208"/>
    </row>
    <row r="122" spans="1:11" ht="18.75" x14ac:dyDescent="0.3">
      <c r="A122" s="263">
        <v>0.18</v>
      </c>
      <c r="B122" s="263">
        <v>0.05</v>
      </c>
      <c r="C122" s="263">
        <v>0.32</v>
      </c>
      <c r="D122" s="263">
        <v>37.582527999999996</v>
      </c>
      <c r="E122" s="242" t="s">
        <v>714</v>
      </c>
      <c r="F122" s="242" t="s">
        <v>328</v>
      </c>
      <c r="G122" s="263" t="s">
        <v>118</v>
      </c>
      <c r="H122" s="206">
        <v>200</v>
      </c>
      <c r="I122" s="451"/>
      <c r="K122" s="208"/>
    </row>
    <row r="123" spans="1:11" ht="18.75" x14ac:dyDescent="0.3">
      <c r="A123" s="264">
        <v>2.64</v>
      </c>
      <c r="B123" s="264">
        <v>0.48</v>
      </c>
      <c r="C123" s="264">
        <v>16.68</v>
      </c>
      <c r="D123" s="264">
        <v>77.352000000000004</v>
      </c>
      <c r="E123" s="242" t="str">
        <f>"-"</f>
        <v>-</v>
      </c>
      <c r="F123" s="242" t="s">
        <v>715</v>
      </c>
      <c r="G123" s="392">
        <v>50</v>
      </c>
      <c r="H123" s="206">
        <v>40</v>
      </c>
      <c r="I123" s="451"/>
      <c r="K123" s="208"/>
    </row>
    <row r="124" spans="1:11" ht="18.75" x14ac:dyDescent="0.3">
      <c r="A124" s="264">
        <v>2.64</v>
      </c>
      <c r="B124" s="264">
        <v>0.48</v>
      </c>
      <c r="C124" s="264">
        <v>16.68</v>
      </c>
      <c r="D124" s="264">
        <v>77.352000000000004</v>
      </c>
      <c r="E124" s="381" t="str">
        <f>"-"</f>
        <v>-</v>
      </c>
      <c r="F124" s="381" t="s">
        <v>707</v>
      </c>
      <c r="G124" s="392">
        <v>30</v>
      </c>
      <c r="H124" s="206">
        <v>40</v>
      </c>
      <c r="I124" s="451"/>
      <c r="K124" s="208"/>
    </row>
    <row r="125" spans="1:11" ht="18.75" hidden="1" x14ac:dyDescent="0.25">
      <c r="A125" s="246"/>
      <c r="B125" s="246"/>
      <c r="C125" s="246"/>
      <c r="D125" s="246"/>
      <c r="E125" s="247"/>
      <c r="F125" s="204"/>
      <c r="G125" s="199"/>
      <c r="H125" s="246"/>
      <c r="I125" s="451"/>
      <c r="K125" s="208"/>
    </row>
    <row r="126" spans="1:11" ht="18.75" x14ac:dyDescent="0.3">
      <c r="A126" s="464" t="s">
        <v>16</v>
      </c>
      <c r="B126" s="464"/>
      <c r="C126" s="464"/>
      <c r="D126" s="464"/>
      <c r="E126" s="464"/>
      <c r="F126" s="464"/>
      <c r="G126" s="205"/>
      <c r="H126" s="206"/>
      <c r="I126" s="207">
        <f>SUM(I119)</f>
        <v>224.27</v>
      </c>
      <c r="K126" s="208"/>
    </row>
    <row r="127" spans="1:11" ht="18.75" hidden="1" x14ac:dyDescent="0.25">
      <c r="A127" s="484" t="s">
        <v>592</v>
      </c>
      <c r="B127" s="485"/>
      <c r="C127" s="485"/>
      <c r="D127" s="485"/>
      <c r="E127" s="485"/>
      <c r="F127" s="485"/>
      <c r="G127" s="485"/>
      <c r="H127" s="485"/>
      <c r="I127" s="486"/>
      <c r="K127" s="208"/>
    </row>
    <row r="128" spans="1:11" ht="18.75" hidden="1" x14ac:dyDescent="0.3">
      <c r="A128" s="263">
        <v>5.55</v>
      </c>
      <c r="B128" s="263">
        <v>7.8</v>
      </c>
      <c r="C128" s="263">
        <v>15.95</v>
      </c>
      <c r="D128" s="263">
        <v>199.78905478333331</v>
      </c>
      <c r="E128" s="350" t="str">
        <f>"6/70"</f>
        <v>6/70</v>
      </c>
      <c r="F128" s="350" t="s">
        <v>220</v>
      </c>
      <c r="G128" s="211" t="str">
        <f>IFERROR(VLOOKUP(F128,[2]Реестр!A:K,2,0),"")</f>
        <v>300</v>
      </c>
      <c r="H128" s="206">
        <v>250</v>
      </c>
      <c r="I128" s="207">
        <v>50</v>
      </c>
      <c r="K128" s="208"/>
    </row>
    <row r="129" spans="1:11" ht="18.75" hidden="1" x14ac:dyDescent="0.3">
      <c r="A129" s="263">
        <v>16.579999999999998</v>
      </c>
      <c r="B129" s="263">
        <v>19.5</v>
      </c>
      <c r="C129" s="263">
        <v>68.38</v>
      </c>
      <c r="D129" s="263">
        <v>327.07</v>
      </c>
      <c r="E129" s="349" t="str">
        <f>"8/35"</f>
        <v>8/35</v>
      </c>
      <c r="F129" s="349" t="s">
        <v>549</v>
      </c>
      <c r="G129" s="211" t="str">
        <f>IFERROR(VLOOKUP(F129,[2]Реестр!A:K,2,0),"")</f>
        <v/>
      </c>
      <c r="H129" s="206">
        <v>210</v>
      </c>
      <c r="I129" s="206">
        <v>118.3</v>
      </c>
      <c r="K129" s="208"/>
    </row>
    <row r="130" spans="1:11" ht="18.75" hidden="1" x14ac:dyDescent="0.3">
      <c r="A130" s="263">
        <v>0.14000000000000001</v>
      </c>
      <c r="B130" s="263">
        <v>0.1</v>
      </c>
      <c r="C130" s="263">
        <v>1.5</v>
      </c>
      <c r="D130" s="263">
        <v>83.962620000000015</v>
      </c>
      <c r="E130" s="349" t="str">
        <f>"11/1"</f>
        <v>11/1</v>
      </c>
      <c r="F130" s="349" t="s">
        <v>317</v>
      </c>
      <c r="G130" s="211">
        <f>IFERROR(VLOOKUP(F130,[2]Реестр!A:K,2,0),"")</f>
        <v>200</v>
      </c>
      <c r="H130" s="206">
        <v>200</v>
      </c>
      <c r="I130" s="207">
        <v>12.8</v>
      </c>
      <c r="K130" s="208"/>
    </row>
    <row r="131" spans="1:11" ht="18.75" hidden="1" x14ac:dyDescent="0.3">
      <c r="A131" s="209">
        <v>2.64</v>
      </c>
      <c r="B131" s="209">
        <v>0.24</v>
      </c>
      <c r="C131" s="209">
        <v>18.72</v>
      </c>
      <c r="D131" s="209">
        <v>89.6</v>
      </c>
      <c r="E131" s="210" t="s">
        <v>471</v>
      </c>
      <c r="F131" s="217" t="s">
        <v>66</v>
      </c>
      <c r="G131" s="211" t="str">
        <f>IFERROR(VLOOKUP(F131,[2]Реестр!A:K,2,0),"")</f>
        <v>100</v>
      </c>
      <c r="H131" s="206">
        <v>25</v>
      </c>
      <c r="I131" s="207">
        <v>2.1</v>
      </c>
      <c r="K131" s="208"/>
    </row>
    <row r="132" spans="1:11" ht="18.75" hidden="1" x14ac:dyDescent="0.3">
      <c r="A132" s="209">
        <v>2.97</v>
      </c>
      <c r="B132" s="209">
        <v>0.54</v>
      </c>
      <c r="C132" s="209">
        <v>15.03</v>
      </c>
      <c r="D132" s="209">
        <v>86.85</v>
      </c>
      <c r="E132" s="210" t="s">
        <v>471</v>
      </c>
      <c r="F132" s="217" t="s">
        <v>65</v>
      </c>
      <c r="G132" s="211" t="str">
        <f>IFERROR(VLOOKUP(F132,[2]Реестр!A:K,2,0),"")</f>
        <v>100</v>
      </c>
      <c r="H132" s="206">
        <v>20</v>
      </c>
      <c r="I132" s="207">
        <v>1.8</v>
      </c>
      <c r="K132" s="208"/>
    </row>
    <row r="133" spans="1:11" ht="18.75" hidden="1" x14ac:dyDescent="0.3">
      <c r="A133" s="219">
        <v>7.7</v>
      </c>
      <c r="B133" s="219">
        <v>7.42</v>
      </c>
      <c r="C133" s="219">
        <v>32.090000000000003</v>
      </c>
      <c r="D133" s="219">
        <v>225.88</v>
      </c>
      <c r="E133" s="261" t="s">
        <v>408</v>
      </c>
      <c r="F133" s="395" t="s">
        <v>529</v>
      </c>
      <c r="G133" s="211">
        <f>IFERROR(VLOOKUP(F133,[2]Реестр!A:K,2,0),"")</f>
        <v>100</v>
      </c>
      <c r="H133" s="206">
        <v>100</v>
      </c>
      <c r="I133" s="207">
        <v>50</v>
      </c>
      <c r="K133" s="208"/>
    </row>
    <row r="134" spans="1:11" ht="18.75" hidden="1" x14ac:dyDescent="0.3">
      <c r="A134" s="219"/>
      <c r="B134" s="219"/>
      <c r="C134" s="219"/>
      <c r="D134" s="219"/>
      <c r="E134" s="210"/>
      <c r="F134" s="398"/>
      <c r="G134" s="220"/>
      <c r="H134" s="221"/>
      <c r="I134" s="399"/>
      <c r="K134" s="208"/>
    </row>
    <row r="135" spans="1:11" ht="18.75" hidden="1" x14ac:dyDescent="0.3">
      <c r="A135" s="219"/>
      <c r="B135" s="219"/>
      <c r="C135" s="219"/>
      <c r="D135" s="219"/>
      <c r="E135" s="210"/>
      <c r="F135" s="398"/>
      <c r="G135" s="220"/>
      <c r="H135" s="221"/>
      <c r="I135" s="399"/>
      <c r="K135" s="208"/>
    </row>
    <row r="136" spans="1:11" ht="18.75" hidden="1" x14ac:dyDescent="0.3">
      <c r="A136" s="464" t="s">
        <v>16</v>
      </c>
      <c r="B136" s="464"/>
      <c r="C136" s="464"/>
      <c r="D136" s="464"/>
      <c r="E136" s="464"/>
      <c r="F136" s="464"/>
      <c r="G136" s="205"/>
      <c r="H136" s="206"/>
      <c r="I136" s="207">
        <f>SUM(I128:I135)</f>
        <v>235.00000000000003</v>
      </c>
      <c r="J136" s="215">
        <v>188</v>
      </c>
      <c r="K136" s="208"/>
    </row>
    <row r="137" spans="1:11" ht="18.75" x14ac:dyDescent="0.3">
      <c r="A137" s="481" t="s">
        <v>677</v>
      </c>
      <c r="B137" s="482"/>
      <c r="C137" s="482"/>
      <c r="D137" s="482"/>
      <c r="E137" s="482"/>
      <c r="F137" s="482"/>
      <c r="G137" s="482"/>
      <c r="H137" s="482"/>
      <c r="I137" s="483"/>
      <c r="K137" s="208"/>
    </row>
    <row r="138" spans="1:11" ht="18.75" x14ac:dyDescent="0.3">
      <c r="A138" s="263">
        <v>5.55</v>
      </c>
      <c r="B138" s="263">
        <v>7.8</v>
      </c>
      <c r="C138" s="263">
        <v>15.95</v>
      </c>
      <c r="D138" s="263">
        <v>199.78905478333331</v>
      </c>
      <c r="E138" s="242" t="s">
        <v>711</v>
      </c>
      <c r="F138" s="242" t="s">
        <v>716</v>
      </c>
      <c r="G138" s="206">
        <v>200</v>
      </c>
      <c r="H138" s="206">
        <v>200</v>
      </c>
      <c r="I138" s="450">
        <v>130.88</v>
      </c>
      <c r="K138" s="208"/>
    </row>
    <row r="139" spans="1:11" ht="18.75" x14ac:dyDescent="0.3">
      <c r="A139" s="263">
        <v>16.579999999999998</v>
      </c>
      <c r="B139" s="263">
        <v>19.5</v>
      </c>
      <c r="C139" s="263">
        <v>68.38</v>
      </c>
      <c r="D139" s="263">
        <v>327.07</v>
      </c>
      <c r="E139" s="242" t="s">
        <v>712</v>
      </c>
      <c r="F139" s="242" t="s">
        <v>713</v>
      </c>
      <c r="G139" s="206">
        <v>200</v>
      </c>
      <c r="H139" s="206">
        <v>200</v>
      </c>
      <c r="I139" s="451"/>
      <c r="K139" s="208"/>
    </row>
    <row r="140" spans="1:11" ht="18.75" x14ac:dyDescent="0.3">
      <c r="A140" s="263">
        <v>0.14000000000000001</v>
      </c>
      <c r="B140" s="263">
        <v>0.1</v>
      </c>
      <c r="C140" s="263">
        <v>1.5</v>
      </c>
      <c r="D140" s="263">
        <v>83.962620000000015</v>
      </c>
      <c r="E140" s="242" t="s">
        <v>714</v>
      </c>
      <c r="F140" s="242" t="s">
        <v>328</v>
      </c>
      <c r="G140" s="206">
        <v>200</v>
      </c>
      <c r="H140" s="206">
        <v>200</v>
      </c>
      <c r="I140" s="451"/>
      <c r="K140" s="208"/>
    </row>
    <row r="141" spans="1:11" ht="18.75" x14ac:dyDescent="0.3">
      <c r="A141" s="209">
        <v>2.64</v>
      </c>
      <c r="B141" s="209">
        <v>0.24</v>
      </c>
      <c r="C141" s="209">
        <v>18.72</v>
      </c>
      <c r="D141" s="209">
        <v>89.6</v>
      </c>
      <c r="E141" s="405" t="s">
        <v>471</v>
      </c>
      <c r="F141" s="408" t="s">
        <v>66</v>
      </c>
      <c r="G141" s="206">
        <v>40</v>
      </c>
      <c r="H141" s="206">
        <v>40</v>
      </c>
      <c r="I141" s="451"/>
      <c r="K141" s="208"/>
    </row>
    <row r="142" spans="1:11" ht="18.75" x14ac:dyDescent="0.3">
      <c r="A142" s="209">
        <v>2.64</v>
      </c>
      <c r="B142" s="209">
        <v>0.48</v>
      </c>
      <c r="C142" s="209">
        <v>13.36</v>
      </c>
      <c r="D142" s="209">
        <v>77.2</v>
      </c>
      <c r="E142" s="405" t="s">
        <v>471</v>
      </c>
      <c r="F142" s="408" t="s">
        <v>65</v>
      </c>
      <c r="G142" s="206">
        <v>40</v>
      </c>
      <c r="H142" s="206">
        <v>40</v>
      </c>
      <c r="I142" s="452"/>
      <c r="K142" s="208"/>
    </row>
    <row r="143" spans="1:11" ht="18.75" x14ac:dyDescent="0.3">
      <c r="A143" s="453" t="s">
        <v>16</v>
      </c>
      <c r="B143" s="454"/>
      <c r="C143" s="454"/>
      <c r="D143" s="454"/>
      <c r="E143" s="454"/>
      <c r="F143" s="455"/>
      <c r="G143" s="205"/>
      <c r="H143" s="206"/>
      <c r="I143" s="207">
        <f>SUM(I138:I142)</f>
        <v>130.88</v>
      </c>
      <c r="K143" s="208"/>
    </row>
    <row r="145" spans="2:11" s="215" customFormat="1" ht="18.75" x14ac:dyDescent="0.3">
      <c r="B145" s="252"/>
      <c r="C145" s="253"/>
      <c r="D145" s="253"/>
      <c r="E145" s="253"/>
      <c r="F145" s="254" t="s">
        <v>37</v>
      </c>
      <c r="G145" s="270"/>
      <c r="H145" s="257"/>
      <c r="I145" s="260"/>
      <c r="K145" s="202"/>
    </row>
    <row r="146" spans="2:11" s="215" customFormat="1" ht="18.75" x14ac:dyDescent="0.3">
      <c r="B146" s="252"/>
      <c r="C146" s="253"/>
      <c r="D146" s="253"/>
      <c r="E146" s="253"/>
      <c r="F146" s="254"/>
      <c r="G146" s="270"/>
      <c r="H146" s="418"/>
      <c r="I146" s="260"/>
      <c r="K146" s="202"/>
    </row>
    <row r="147" spans="2:11" x14ac:dyDescent="0.25">
      <c r="H147" s="414" t="s">
        <v>699</v>
      </c>
    </row>
  </sheetData>
  <autoFilter ref="A4:I93" xr:uid="{00000000-0009-0000-0000-000005000000}"/>
  <mergeCells count="55">
    <mergeCell ref="A22:I22"/>
    <mergeCell ref="A29:F29"/>
    <mergeCell ref="A30:I30"/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  <mergeCell ref="J4:J5"/>
    <mergeCell ref="A6:I6"/>
    <mergeCell ref="A12:F12"/>
    <mergeCell ref="A13:I13"/>
    <mergeCell ref="G4:G5"/>
    <mergeCell ref="H4:H5"/>
    <mergeCell ref="A38:F38"/>
    <mergeCell ref="A39:I3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A40:I40"/>
    <mergeCell ref="A118:I118"/>
    <mergeCell ref="A85:I85"/>
    <mergeCell ref="A93:F93"/>
    <mergeCell ref="A94:I94"/>
    <mergeCell ref="I95:I99"/>
    <mergeCell ref="A100:F100"/>
    <mergeCell ref="A101:I101"/>
    <mergeCell ref="I102:I107"/>
    <mergeCell ref="A108:F108"/>
    <mergeCell ref="A109:I109"/>
    <mergeCell ref="I110:I116"/>
    <mergeCell ref="A117:F117"/>
    <mergeCell ref="A143:F143"/>
    <mergeCell ref="I119:I125"/>
    <mergeCell ref="A126:F126"/>
    <mergeCell ref="A127:I127"/>
    <mergeCell ref="A136:F136"/>
    <mergeCell ref="A137:I137"/>
    <mergeCell ref="I138:I142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2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7106F959-8577-4270-9948-61848A4B9FF2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F88 F128:F129 F15 F83 F32 F110 F138 F64 F48 F86 F112 F119:F121</xm:sqref>
        </x14:dataValidation>
        <x14:dataValidation type="list" allowBlank="1" showInputMessage="1" showErrorMessage="1" xr:uid="{3AB12F37-C794-4157-9173-5F5CBA5CD3BA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F20 F125 F53 F37 F92 F69 F115</xm:sqref>
        </x14:dataValidation>
        <x14:dataValidation type="list" allowBlank="1" showInputMessage="1" showErrorMessage="1" xr:uid="{DC080D13-F93D-46D7-8C16-3714D71630C4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F141 F7 F18 F130:F131 F35 F87 F67 F57 F113 F116 F41 F51 F89:F90 F75 F95:F97 F107 F102:F104 F26 F111 F122:F123</xm:sqref>
        </x14:dataValidation>
        <x14:dataValidation type="list" allowBlank="1" showInputMessage="1" showErrorMessage="1" xr:uid="{5E63323A-5315-474F-B7B4-A2361356193B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F133:F135 F80</xm:sqref>
        </x14:dataValidation>
        <x14:dataValidation type="list" allowBlank="1" showInputMessage="1" showErrorMessage="1" xr:uid="{D617720D-A37D-474C-B153-5BDA8733DCC7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F44 F105:F106 F91 F76:F77 F68 F142 F10 F19 F27:F28 F36 F60 F52 F98:F99 F132 F124</xm:sqref>
        </x14:dataValidation>
        <x14:dataValidation type="list" allowBlank="1" showInputMessage="1" showErrorMessage="1" xr:uid="{1EE9D9F2-AC23-407B-9B40-9ED74D30F75C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F44 F105:F106 F91 F60 F68 F10 F19 F27:F28 F142 F36 F52 F76:F77 F98:F99 F132 F124</xm:sqref>
        </x14:dataValidation>
        <x14:dataValidation type="list" allowBlank="1" showInputMessage="1" showErrorMessage="1" xr:uid="{AF15BB77-2A6E-4F58-934C-1C8CB2EE2FB2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F114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82A6B-D84D-42C9-B532-042E34E275A5}">
  <sheetPr codeName="Лист41">
    <pageSetUpPr fitToPage="1"/>
  </sheetPr>
  <dimension ref="A1:L162"/>
  <sheetViews>
    <sheetView view="pageBreakPreview" topLeftCell="A72" zoomScaleNormal="100" zoomScaleSheetLayoutView="100" workbookViewId="0">
      <selection activeCell="C242" sqref="C242:F242"/>
    </sheetView>
  </sheetViews>
  <sheetFormatPr defaultRowHeight="15.75" x14ac:dyDescent="0.25"/>
  <cols>
    <col min="1" max="1" width="11.28515625" style="215" customWidth="1"/>
    <col min="2" max="2" width="11.28515625" style="252" customWidth="1"/>
    <col min="3" max="3" width="10.5703125" style="253" customWidth="1"/>
    <col min="4" max="4" width="10.28515625" style="253" customWidth="1"/>
    <col min="5" max="5" width="14" style="253" customWidth="1"/>
    <col min="6" max="6" width="57.85546875" style="253" customWidth="1"/>
    <col min="7" max="7" width="17.85546875" style="253" hidden="1" customWidth="1"/>
    <col min="8" max="9" width="15.5703125" style="253" customWidth="1"/>
    <col min="10" max="10" width="25.5703125" style="215" customWidth="1"/>
    <col min="11" max="1025" width="8.7109375" style="202" customWidth="1"/>
    <col min="1026" max="16384" width="9.140625" style="202"/>
  </cols>
  <sheetData>
    <row r="1" spans="1:12" s="234" customFormat="1" ht="29.25" customHeight="1" x14ac:dyDescent="0.25">
      <c r="A1" s="468" t="s">
        <v>0</v>
      </c>
      <c r="B1" s="468"/>
      <c r="C1" s="235"/>
      <c r="D1" s="235"/>
      <c r="E1" s="235"/>
      <c r="F1" s="231" t="s">
        <v>1</v>
      </c>
      <c r="G1" s="231"/>
      <c r="H1" s="439" t="s">
        <v>0</v>
      </c>
      <c r="I1" s="439"/>
    </row>
    <row r="2" spans="1:12" s="234" customFormat="1" ht="29.25" customHeight="1" x14ac:dyDescent="0.25">
      <c r="A2" s="235" t="s">
        <v>2</v>
      </c>
      <c r="B2" s="235"/>
      <c r="C2" s="259"/>
      <c r="D2" s="259"/>
      <c r="E2" s="259"/>
      <c r="F2" s="231" t="s">
        <v>694</v>
      </c>
      <c r="G2" s="231"/>
      <c r="H2" s="535" t="s">
        <v>695</v>
      </c>
      <c r="I2" s="535"/>
      <c r="J2" s="235"/>
    </row>
    <row r="3" spans="1:12" s="234" customFormat="1" ht="29.25" customHeight="1" x14ac:dyDescent="0.25">
      <c r="A3" s="437" t="s">
        <v>522</v>
      </c>
      <c r="B3" s="437"/>
      <c r="C3" s="437"/>
      <c r="D3" s="438"/>
      <c r="E3" s="438"/>
      <c r="F3" s="231" t="s">
        <v>748</v>
      </c>
      <c r="G3" s="231"/>
      <c r="H3" s="470" t="s">
        <v>696</v>
      </c>
      <c r="I3" s="470"/>
    </row>
    <row r="4" spans="1:12" ht="15" customHeight="1" x14ac:dyDescent="0.25">
      <c r="A4" s="472" t="s">
        <v>4</v>
      </c>
      <c r="B4" s="472"/>
      <c r="C4" s="472"/>
      <c r="D4" s="471" t="s">
        <v>5</v>
      </c>
      <c r="E4" s="471" t="s">
        <v>6</v>
      </c>
      <c r="F4" s="471" t="s">
        <v>7</v>
      </c>
      <c r="G4" s="473" t="s">
        <v>8</v>
      </c>
      <c r="H4" s="471" t="s">
        <v>9</v>
      </c>
      <c r="I4" s="471" t="s">
        <v>10</v>
      </c>
      <c r="J4" s="471" t="s">
        <v>11</v>
      </c>
    </row>
    <row r="5" spans="1:12" x14ac:dyDescent="0.25">
      <c r="A5" s="232" t="s">
        <v>12</v>
      </c>
      <c r="B5" s="232" t="s">
        <v>13</v>
      </c>
      <c r="C5" s="232" t="s">
        <v>14</v>
      </c>
      <c r="D5" s="471"/>
      <c r="E5" s="471"/>
      <c r="F5" s="471"/>
      <c r="G5" s="473"/>
      <c r="H5" s="471"/>
      <c r="I5" s="471"/>
      <c r="J5" s="471"/>
    </row>
    <row r="6" spans="1:12" ht="18" customHeight="1" x14ac:dyDescent="0.3">
      <c r="A6" s="462" t="s">
        <v>15</v>
      </c>
      <c r="B6" s="462"/>
      <c r="C6" s="462"/>
      <c r="D6" s="462"/>
      <c r="E6" s="462"/>
      <c r="F6" s="462"/>
      <c r="G6" s="462"/>
      <c r="H6" s="462"/>
      <c r="I6" s="462"/>
      <c r="J6" s="212"/>
    </row>
    <row r="7" spans="1:12" ht="18" customHeight="1" x14ac:dyDescent="0.3">
      <c r="A7" s="243">
        <v>4.2300000000000004</v>
      </c>
      <c r="B7" s="243">
        <v>4.96</v>
      </c>
      <c r="C7" s="243">
        <v>38.700000000000003</v>
      </c>
      <c r="D7" s="243">
        <v>228.9</v>
      </c>
      <c r="E7" s="242" t="str">
        <f>"1/50"</f>
        <v>1/50</v>
      </c>
      <c r="F7" s="242" t="s">
        <v>706</v>
      </c>
      <c r="G7" s="211" t="str">
        <f>IFERROR(VLOOKUP(F7,[1]Реестр!A:K,2,0),"")</f>
        <v/>
      </c>
      <c r="H7" s="210">
        <v>30</v>
      </c>
      <c r="I7" s="207">
        <v>38.369999999999997</v>
      </c>
      <c r="J7" s="201" t="str">
        <f>IFERROR(VLOOKUP(O7,Реестр!#REF!,3,0)*Q7/P7,"")</f>
        <v/>
      </c>
    </row>
    <row r="8" spans="1:12" ht="18" customHeight="1" x14ac:dyDescent="0.3">
      <c r="A8" s="243">
        <v>13.79</v>
      </c>
      <c r="B8" s="243">
        <v>14.6</v>
      </c>
      <c r="C8" s="243">
        <v>23.4</v>
      </c>
      <c r="D8" s="243">
        <v>266.7</v>
      </c>
      <c r="E8" s="242" t="str">
        <f>"4/56"</f>
        <v>4/56</v>
      </c>
      <c r="F8" s="242" t="s">
        <v>705</v>
      </c>
      <c r="G8" s="211"/>
      <c r="H8" s="210">
        <v>150</v>
      </c>
      <c r="I8" s="207">
        <v>75.42</v>
      </c>
      <c r="J8" s="201" t="str">
        <f>IFERROR(VLOOKUP(O8,Реестр!#REF!,3,0)*Q8/P8,"")</f>
        <v/>
      </c>
    </row>
    <row r="9" spans="1:12" ht="18" customHeight="1" x14ac:dyDescent="0.3">
      <c r="A9" s="243">
        <v>0.18</v>
      </c>
      <c r="B9" s="243">
        <v>0.04</v>
      </c>
      <c r="C9" s="243">
        <v>13.75</v>
      </c>
      <c r="D9" s="243">
        <v>53.136642799999997</v>
      </c>
      <c r="E9" s="242" t="str">
        <f>"11/56"</f>
        <v>11/56</v>
      </c>
      <c r="F9" s="242" t="s">
        <v>499</v>
      </c>
      <c r="G9" s="211"/>
      <c r="H9" s="210">
        <v>200</v>
      </c>
      <c r="I9" s="207">
        <v>8.15</v>
      </c>
      <c r="J9" s="201" t="str">
        <f>IFERROR(VLOOKUP(O9,Реестр!#REF!,3,0)*Q9/P9,"")</f>
        <v/>
      </c>
    </row>
    <row r="10" spans="1:12" ht="18" customHeight="1" x14ac:dyDescent="0.3">
      <c r="A10" s="264">
        <v>1.3</v>
      </c>
      <c r="B10" s="264">
        <v>0.2</v>
      </c>
      <c r="C10" s="264">
        <v>6.7</v>
      </c>
      <c r="D10" s="264">
        <v>39</v>
      </c>
      <c r="E10" s="381" t="str">
        <f>"-"</f>
        <v>-</v>
      </c>
      <c r="F10" s="381" t="s">
        <v>707</v>
      </c>
      <c r="G10" s="211"/>
      <c r="H10" s="206">
        <v>20</v>
      </c>
      <c r="I10" s="207">
        <v>1.8</v>
      </c>
      <c r="J10" s="201" t="str">
        <f>IFERROR(VLOOKUP(O10,Реестр!#REF!,3,0)*Q10/P10,"")</f>
        <v/>
      </c>
    </row>
    <row r="11" spans="1:12" ht="18.75" x14ac:dyDescent="0.3">
      <c r="A11" s="264">
        <v>0.52</v>
      </c>
      <c r="B11" s="264">
        <v>0.52</v>
      </c>
      <c r="C11" s="264">
        <v>15.08</v>
      </c>
      <c r="D11" s="264">
        <v>63.283999999999985</v>
      </c>
      <c r="E11" s="381" t="str">
        <f>"-"</f>
        <v>-</v>
      </c>
      <c r="F11" s="381" t="s">
        <v>708</v>
      </c>
      <c r="G11" s="211"/>
      <c r="H11" s="206">
        <v>130</v>
      </c>
      <c r="I11" s="207">
        <v>25.78</v>
      </c>
      <c r="J11" s="206"/>
      <c r="K11" s="208"/>
    </row>
    <row r="12" spans="1:12" ht="18" customHeight="1" x14ac:dyDescent="0.3">
      <c r="A12" s="464" t="s">
        <v>16</v>
      </c>
      <c r="B12" s="464"/>
      <c r="C12" s="464"/>
      <c r="D12" s="464"/>
      <c r="E12" s="464"/>
      <c r="F12" s="464"/>
      <c r="G12" s="205"/>
      <c r="H12" s="206"/>
      <c r="I12" s="207">
        <f>SUM(I7:I11)</f>
        <v>149.51999999999998</v>
      </c>
      <c r="J12" s="206">
        <v>149.52000000000001</v>
      </c>
      <c r="K12" s="208">
        <f>I12-J12</f>
        <v>0</v>
      </c>
      <c r="L12" s="208"/>
    </row>
    <row r="13" spans="1:12" ht="18" customHeight="1" x14ac:dyDescent="0.3">
      <c r="A13" s="462" t="s">
        <v>17</v>
      </c>
      <c r="B13" s="462"/>
      <c r="C13" s="462"/>
      <c r="D13" s="462"/>
      <c r="E13" s="462"/>
      <c r="F13" s="462"/>
      <c r="G13" s="462"/>
      <c r="H13" s="462"/>
      <c r="I13" s="462"/>
      <c r="J13" s="212"/>
    </row>
    <row r="14" spans="1:12" ht="30" x14ac:dyDescent="0.3">
      <c r="A14" s="383">
        <v>1.33</v>
      </c>
      <c r="B14" s="383">
        <v>5.12</v>
      </c>
      <c r="C14" s="383">
        <v>4.0999999999999996</v>
      </c>
      <c r="D14" s="383">
        <v>73.52</v>
      </c>
      <c r="E14" s="382" t="s">
        <v>709</v>
      </c>
      <c r="F14" s="242" t="s">
        <v>710</v>
      </c>
      <c r="G14" s="211" t="str">
        <f>IFERROR(VLOOKUP(F14,[2]Реестр!A:K,2,0),"")</f>
        <v/>
      </c>
      <c r="H14" s="210">
        <v>80</v>
      </c>
      <c r="I14" s="230">
        <v>44.94</v>
      </c>
      <c r="J14" s="201" t="str">
        <f>IFERROR(VLOOKUP(O14,Реестр!#REF!,3,0)*Q14/P14,"")</f>
        <v/>
      </c>
    </row>
    <row r="15" spans="1:12" ht="18" customHeight="1" x14ac:dyDescent="0.3">
      <c r="A15" s="263">
        <v>4.1100000000000003</v>
      </c>
      <c r="B15" s="263">
        <v>4.7699999999999996</v>
      </c>
      <c r="C15" s="263">
        <v>19.5</v>
      </c>
      <c r="D15" s="263">
        <v>143.13</v>
      </c>
      <c r="E15" s="242" t="s">
        <v>711</v>
      </c>
      <c r="F15" s="242" t="s">
        <v>716</v>
      </c>
      <c r="G15" s="211" t="str">
        <f>IFERROR(VLOOKUP(F15,[2]Реестр!A:K,2,0),"")</f>
        <v/>
      </c>
      <c r="H15" s="206">
        <v>250</v>
      </c>
      <c r="I15" s="207">
        <v>50</v>
      </c>
      <c r="J15" s="201" t="str">
        <f>IFERROR(VLOOKUP(O15,Реестр!#REF!,3,0)*Q15/P15,"")</f>
        <v/>
      </c>
    </row>
    <row r="16" spans="1:12" ht="18" customHeight="1" x14ac:dyDescent="0.3">
      <c r="A16" s="263">
        <v>15.55</v>
      </c>
      <c r="B16" s="263">
        <v>15.4</v>
      </c>
      <c r="C16" s="263">
        <v>57.1</v>
      </c>
      <c r="D16" s="263">
        <v>364.2</v>
      </c>
      <c r="E16" s="242" t="s">
        <v>712</v>
      </c>
      <c r="F16" s="242" t="s">
        <v>713</v>
      </c>
      <c r="G16" s="211" t="str">
        <f>IFERROR(VLOOKUP(F16,[2]Реестр!A:K,2,0),"")</f>
        <v/>
      </c>
      <c r="H16" s="206">
        <v>200</v>
      </c>
      <c r="I16" s="206">
        <v>102.59</v>
      </c>
      <c r="J16" s="201" t="str">
        <f>IFERROR(VLOOKUP(O16,Реестр!#REF!,3,0)*Q16/P16,"")</f>
        <v/>
      </c>
    </row>
    <row r="17" spans="1:12" ht="18" customHeight="1" x14ac:dyDescent="0.3">
      <c r="A17" s="263">
        <v>0.18</v>
      </c>
      <c r="B17" s="263">
        <v>0.05</v>
      </c>
      <c r="C17" s="263">
        <v>0.32</v>
      </c>
      <c r="D17" s="263">
        <v>37.582527999999996</v>
      </c>
      <c r="E17" s="242" t="s">
        <v>714</v>
      </c>
      <c r="F17" s="242" t="s">
        <v>328</v>
      </c>
      <c r="G17" s="211">
        <f>IFERROR(VLOOKUP(F17,[2]Реестр!A:K,2,0),"")</f>
        <v>200</v>
      </c>
      <c r="H17" s="206">
        <v>200</v>
      </c>
      <c r="I17" s="207">
        <v>19.54</v>
      </c>
      <c r="J17" s="201"/>
    </row>
    <row r="18" spans="1:12" ht="18" customHeight="1" x14ac:dyDescent="0.3">
      <c r="A18" s="264">
        <v>3.3</v>
      </c>
      <c r="B18" s="264">
        <v>0.3</v>
      </c>
      <c r="C18" s="264">
        <v>23.4</v>
      </c>
      <c r="D18" s="264">
        <v>112</v>
      </c>
      <c r="E18" s="242" t="s">
        <v>471</v>
      </c>
      <c r="F18" s="242" t="s">
        <v>715</v>
      </c>
      <c r="G18" s="211" t="str">
        <f>IFERROR(VLOOKUP(F18,[2]Реестр!A:K,2,0),"")</f>
        <v/>
      </c>
      <c r="H18" s="206">
        <v>50</v>
      </c>
      <c r="I18" s="207">
        <v>4.5</v>
      </c>
      <c r="J18" s="201" t="str">
        <f>IFERROR(VLOOKUP(O18,Реестр!#REF!,3,0)*Q18/P18,"")</f>
        <v/>
      </c>
    </row>
    <row r="19" spans="1:12" ht="18" customHeight="1" x14ac:dyDescent="0.3">
      <c r="A19" s="241">
        <v>2</v>
      </c>
      <c r="B19" s="241">
        <v>0.4</v>
      </c>
      <c r="C19" s="241">
        <v>10</v>
      </c>
      <c r="D19" s="241">
        <v>58</v>
      </c>
      <c r="E19" s="381" t="s">
        <v>471</v>
      </c>
      <c r="F19" s="381" t="s">
        <v>707</v>
      </c>
      <c r="G19" s="211" t="str">
        <f>IFERROR(VLOOKUP(F19,[2]Реестр!A:K,2,0),"")</f>
        <v/>
      </c>
      <c r="H19" s="206">
        <v>30</v>
      </c>
      <c r="I19" s="203">
        <v>2.7</v>
      </c>
      <c r="J19" s="201" t="str">
        <f>IFERROR(VLOOKUP(O19,Реестр!#REF!,3,0)*Q19/P19,"")</f>
        <v/>
      </c>
    </row>
    <row r="20" spans="1:12" ht="18" customHeight="1" x14ac:dyDescent="0.3">
      <c r="A20" s="196"/>
      <c r="B20" s="196"/>
      <c r="C20" s="196"/>
      <c r="D20" s="196"/>
      <c r="E20" s="214"/>
      <c r="F20" s="204"/>
      <c r="G20" s="199"/>
      <c r="H20" s="200"/>
      <c r="I20" s="203"/>
      <c r="J20" s="201"/>
    </row>
    <row r="21" spans="1:12" ht="18.75" x14ac:dyDescent="0.3">
      <c r="A21" s="464" t="s">
        <v>16</v>
      </c>
      <c r="B21" s="464"/>
      <c r="C21" s="464"/>
      <c r="D21" s="464"/>
      <c r="E21" s="464"/>
      <c r="F21" s="464"/>
      <c r="G21" s="205"/>
      <c r="H21" s="206"/>
      <c r="I21" s="207">
        <f>SUM(I14:I20)</f>
        <v>224.26999999999998</v>
      </c>
      <c r="J21" s="206">
        <v>127.79</v>
      </c>
      <c r="K21" s="208">
        <f>J21-I21</f>
        <v>-96.479999999999976</v>
      </c>
    </row>
    <row r="22" spans="1:12" ht="18.75" x14ac:dyDescent="0.3">
      <c r="A22" s="462" t="s">
        <v>500</v>
      </c>
      <c r="B22" s="462"/>
      <c r="C22" s="462"/>
      <c r="D22" s="462"/>
      <c r="E22" s="462"/>
      <c r="F22" s="462"/>
      <c r="G22" s="462"/>
      <c r="H22" s="462"/>
      <c r="I22" s="462"/>
      <c r="J22" s="212"/>
    </row>
    <row r="23" spans="1:12" ht="18.75" x14ac:dyDescent="0.25">
      <c r="A23" s="263">
        <v>0.48</v>
      </c>
      <c r="B23" s="263">
        <v>2.37</v>
      </c>
      <c r="C23" s="263">
        <v>3.09</v>
      </c>
      <c r="D23" s="263">
        <v>36.64</v>
      </c>
      <c r="E23" s="384" t="str">
        <f>"7/26"</f>
        <v>7/26</v>
      </c>
      <c r="F23" s="385" t="s">
        <v>717</v>
      </c>
      <c r="G23" s="211" t="str">
        <f>IFERROR(VLOOKUP(F23,[1]Реестр!A:K,2,0),"")</f>
        <v/>
      </c>
      <c r="H23" s="210">
        <v>30</v>
      </c>
      <c r="I23" s="230">
        <v>19.260000000000002</v>
      </c>
      <c r="J23" s="212"/>
    </row>
    <row r="24" spans="1:12" ht="18.75" x14ac:dyDescent="0.3">
      <c r="A24" s="348">
        <v>19.440000000000001</v>
      </c>
      <c r="B24" s="348">
        <v>19.420000000000002</v>
      </c>
      <c r="C24" s="348">
        <v>57.63</v>
      </c>
      <c r="D24" s="348">
        <v>436.2</v>
      </c>
      <c r="E24" s="242" t="s">
        <v>712</v>
      </c>
      <c r="F24" s="242" t="s">
        <v>713</v>
      </c>
      <c r="G24" s="211" t="str">
        <f>IFERROR(VLOOKUP(F24,[2]Реестр!A:K,2,0),"")</f>
        <v/>
      </c>
      <c r="H24" s="206">
        <v>250</v>
      </c>
      <c r="I24" s="206">
        <v>130.94</v>
      </c>
      <c r="J24" s="201" t="str">
        <f>IFERROR(VLOOKUP(O24,Реестр!#REF!,3,0)*Q24/P24,"")</f>
        <v/>
      </c>
    </row>
    <row r="25" spans="1:12" ht="18.75" x14ac:dyDescent="0.3">
      <c r="A25" s="263">
        <v>0.18</v>
      </c>
      <c r="B25" s="263">
        <v>0.05</v>
      </c>
      <c r="C25" s="263">
        <v>0.32</v>
      </c>
      <c r="D25" s="263">
        <v>37.582527999999996</v>
      </c>
      <c r="E25" s="242" t="s">
        <v>714</v>
      </c>
      <c r="F25" s="386" t="s">
        <v>328</v>
      </c>
      <c r="G25" s="211">
        <f>IFERROR(VLOOKUP(F25,[2]Реестр!A:K,2,0),"")</f>
        <v>200</v>
      </c>
      <c r="H25" s="206">
        <v>200</v>
      </c>
      <c r="I25" s="207">
        <v>19.54</v>
      </c>
      <c r="J25" s="201"/>
    </row>
    <row r="26" spans="1:12" ht="18.75" x14ac:dyDescent="0.3">
      <c r="A26" s="264">
        <v>3.3</v>
      </c>
      <c r="B26" s="264">
        <v>0.3</v>
      </c>
      <c r="C26" s="264">
        <v>23.4</v>
      </c>
      <c r="D26" s="264">
        <v>112</v>
      </c>
      <c r="E26" s="242" t="str">
        <f>"-"</f>
        <v>-</v>
      </c>
      <c r="F26" s="387" t="s">
        <v>715</v>
      </c>
      <c r="G26" s="211" t="str">
        <f>IFERROR(VLOOKUP(F26,[2]Реестр!A:K,2,0),"")</f>
        <v/>
      </c>
      <c r="H26" s="206">
        <v>50</v>
      </c>
      <c r="I26" s="207">
        <v>4.5</v>
      </c>
      <c r="J26" s="201" t="str">
        <f>IFERROR(VLOOKUP(O26,Реестр!#REF!,3,0)*Q26/P26,"")</f>
        <v/>
      </c>
    </row>
    <row r="27" spans="1:12" ht="18.75" x14ac:dyDescent="0.3">
      <c r="A27" s="264">
        <v>2</v>
      </c>
      <c r="B27" s="264">
        <v>0.4</v>
      </c>
      <c r="C27" s="264">
        <v>10</v>
      </c>
      <c r="D27" s="264">
        <v>58</v>
      </c>
      <c r="E27" s="381" t="str">
        <f>"-"</f>
        <v>-</v>
      </c>
      <c r="F27" s="381" t="s">
        <v>707</v>
      </c>
      <c r="G27" s="211" t="str">
        <f>IFERROR(VLOOKUP(F27,[2]Реестр!A:K,2,0),"")</f>
        <v/>
      </c>
      <c r="H27" s="206">
        <v>30</v>
      </c>
      <c r="I27" s="203">
        <v>2.7</v>
      </c>
      <c r="J27" s="201"/>
    </row>
    <row r="28" spans="1:12" ht="18.75" x14ac:dyDescent="0.3">
      <c r="A28" s="196"/>
      <c r="B28" s="196"/>
      <c r="C28" s="196"/>
      <c r="D28" s="196"/>
      <c r="E28" s="197"/>
      <c r="F28" s="217"/>
      <c r="G28" s="199"/>
      <c r="H28" s="206"/>
      <c r="I28" s="203"/>
      <c r="J28" s="201" t="str">
        <f>IFERROR(VLOOKUP(O28,Реестр!#REF!,3,0)*Q28/P28,"")</f>
        <v/>
      </c>
    </row>
    <row r="29" spans="1:12" ht="18.75" x14ac:dyDescent="0.3">
      <c r="A29" s="453" t="s">
        <v>16</v>
      </c>
      <c r="B29" s="454"/>
      <c r="C29" s="454"/>
      <c r="D29" s="454"/>
      <c r="E29" s="454"/>
      <c r="F29" s="455"/>
      <c r="G29" s="205"/>
      <c r="H29" s="206"/>
      <c r="I29" s="207">
        <f>SUM(I23:I28)</f>
        <v>176.93999999999997</v>
      </c>
      <c r="J29" s="206">
        <v>98.52</v>
      </c>
      <c r="K29" s="208">
        <f>I29-J29</f>
        <v>78.419999999999973</v>
      </c>
      <c r="L29" s="208"/>
    </row>
    <row r="30" spans="1:12" ht="18.75" x14ac:dyDescent="0.3">
      <c r="A30" s="462" t="s">
        <v>501</v>
      </c>
      <c r="B30" s="462"/>
      <c r="C30" s="462"/>
      <c r="D30" s="462"/>
      <c r="E30" s="462"/>
      <c r="F30" s="462"/>
      <c r="G30" s="462"/>
      <c r="H30" s="462"/>
      <c r="I30" s="462"/>
      <c r="J30" s="201"/>
    </row>
    <row r="31" spans="1:12" ht="30" x14ac:dyDescent="0.3">
      <c r="A31" s="383">
        <v>2.2999999999999998</v>
      </c>
      <c r="B31" s="383">
        <v>6.01</v>
      </c>
      <c r="C31" s="383">
        <v>4.01</v>
      </c>
      <c r="D31" s="383">
        <v>72.147796</v>
      </c>
      <c r="E31" s="242" t="s">
        <v>709</v>
      </c>
      <c r="F31" s="242" t="s">
        <v>710</v>
      </c>
      <c r="G31" s="211" t="str">
        <f>IFERROR(VLOOKUP(F31,[2]Реестр!A:K,2,0),"")</f>
        <v/>
      </c>
      <c r="H31" s="210">
        <v>100</v>
      </c>
      <c r="I31" s="230">
        <v>56.17</v>
      </c>
      <c r="J31" s="201"/>
    </row>
    <row r="32" spans="1:12" ht="18.75" x14ac:dyDescent="0.3">
      <c r="A32" s="263">
        <v>4.1100000000000003</v>
      </c>
      <c r="B32" s="263">
        <v>4.7699999999999996</v>
      </c>
      <c r="C32" s="263">
        <v>26.5</v>
      </c>
      <c r="D32" s="263">
        <v>213.5</v>
      </c>
      <c r="E32" s="242" t="s">
        <v>711</v>
      </c>
      <c r="F32" s="242" t="s">
        <v>716</v>
      </c>
      <c r="G32" s="211" t="str">
        <f>IFERROR(VLOOKUP(F32,[2]Реестр!A:K,2,0),"")</f>
        <v/>
      </c>
      <c r="H32" s="206">
        <v>250</v>
      </c>
      <c r="I32" s="207">
        <v>50</v>
      </c>
      <c r="J32" s="206"/>
      <c r="K32" s="208">
        <f>I38-J32</f>
        <v>265.40000000000003</v>
      </c>
    </row>
    <row r="33" spans="1:12" ht="18.75" x14ac:dyDescent="0.3">
      <c r="A33" s="348">
        <v>17.5</v>
      </c>
      <c r="B33" s="348">
        <v>15.6</v>
      </c>
      <c r="C33" s="348">
        <v>42.3</v>
      </c>
      <c r="D33" s="348">
        <v>265.7</v>
      </c>
      <c r="E33" s="242" t="s">
        <v>712</v>
      </c>
      <c r="F33" s="242" t="s">
        <v>713</v>
      </c>
      <c r="G33" s="211" t="str">
        <f>IFERROR(VLOOKUP(F33,[2]Реестр!A:K,2,0),"")</f>
        <v/>
      </c>
      <c r="H33" s="206">
        <v>250</v>
      </c>
      <c r="I33" s="206">
        <v>130.94</v>
      </c>
      <c r="J33" s="212"/>
    </row>
    <row r="34" spans="1:12" ht="18.75" x14ac:dyDescent="0.3">
      <c r="A34" s="263">
        <v>3.94</v>
      </c>
      <c r="B34" s="263">
        <v>5.1100000000000003</v>
      </c>
      <c r="C34" s="263">
        <v>27.5</v>
      </c>
      <c r="D34" s="263">
        <v>170.19544859999999</v>
      </c>
      <c r="E34" s="242" t="s">
        <v>714</v>
      </c>
      <c r="F34" s="386" t="s">
        <v>328</v>
      </c>
      <c r="G34" s="211">
        <f>IFERROR(VLOOKUP(F34,[2]Реестр!A:K,2,0),"")</f>
        <v>200</v>
      </c>
      <c r="H34" s="206">
        <v>200</v>
      </c>
      <c r="I34" s="207">
        <v>19.54</v>
      </c>
      <c r="J34" s="212"/>
    </row>
    <row r="35" spans="1:12" ht="18.75" x14ac:dyDescent="0.3">
      <c r="A35" s="264">
        <v>0.14000000000000001</v>
      </c>
      <c r="B35" s="264">
        <v>0.1</v>
      </c>
      <c r="C35" s="264">
        <v>1.5</v>
      </c>
      <c r="D35" s="264">
        <v>83.962620000000015</v>
      </c>
      <c r="E35" s="242" t="s">
        <v>471</v>
      </c>
      <c r="F35" s="242" t="s">
        <v>715</v>
      </c>
      <c r="G35" s="211" t="str">
        <f>IFERROR(VLOOKUP(F35,[2]Реестр!A:K,2,0),"")</f>
        <v/>
      </c>
      <c r="H35" s="206">
        <v>50</v>
      </c>
      <c r="I35" s="207">
        <v>4.5</v>
      </c>
      <c r="J35" s="212"/>
    </row>
    <row r="36" spans="1:12" ht="18.75" x14ac:dyDescent="0.3">
      <c r="A36" s="264">
        <v>3.3</v>
      </c>
      <c r="B36" s="264">
        <v>0.3</v>
      </c>
      <c r="C36" s="264">
        <v>23.4</v>
      </c>
      <c r="D36" s="264">
        <v>112</v>
      </c>
      <c r="E36" s="381" t="s">
        <v>471</v>
      </c>
      <c r="F36" s="381" t="s">
        <v>707</v>
      </c>
      <c r="G36" s="211" t="str">
        <f>IFERROR(VLOOKUP(F36,[2]Реестр!A:K,2,0),"")</f>
        <v/>
      </c>
      <c r="H36" s="206">
        <v>50</v>
      </c>
      <c r="I36" s="203">
        <v>4.25</v>
      </c>
      <c r="J36" s="394"/>
    </row>
    <row r="37" spans="1:12" ht="18.75" x14ac:dyDescent="0.3">
      <c r="A37" s="209"/>
      <c r="B37" s="209"/>
      <c r="C37" s="209"/>
      <c r="D37" s="209"/>
      <c r="E37" s="218"/>
      <c r="F37" s="217"/>
      <c r="G37" s="211"/>
      <c r="H37" s="206"/>
      <c r="I37" s="207"/>
      <c r="J37" s="394"/>
    </row>
    <row r="38" spans="1:12" ht="18.75" x14ac:dyDescent="0.3">
      <c r="A38" s="453" t="s">
        <v>16</v>
      </c>
      <c r="B38" s="454"/>
      <c r="C38" s="454"/>
      <c r="D38" s="454"/>
      <c r="E38" s="454"/>
      <c r="F38" s="455"/>
      <c r="G38" s="205"/>
      <c r="H38" s="206"/>
      <c r="I38" s="207">
        <f>SUM(I31:I37)</f>
        <v>265.40000000000003</v>
      </c>
      <c r="J38" s="206">
        <v>147.79</v>
      </c>
      <c r="K38" s="208">
        <f>I38-J38</f>
        <v>117.61000000000004</v>
      </c>
    </row>
    <row r="39" spans="1:12" ht="18.75" x14ac:dyDescent="0.3">
      <c r="A39" s="462" t="s">
        <v>18</v>
      </c>
      <c r="B39" s="462"/>
      <c r="C39" s="462"/>
      <c r="D39" s="462"/>
      <c r="E39" s="462"/>
      <c r="F39" s="462"/>
      <c r="G39" s="462"/>
      <c r="H39" s="462"/>
      <c r="I39" s="462"/>
      <c r="J39" s="394"/>
    </row>
    <row r="40" spans="1:12" ht="18.75" x14ac:dyDescent="0.3">
      <c r="A40" s="462" t="s">
        <v>19</v>
      </c>
      <c r="B40" s="462"/>
      <c r="C40" s="462"/>
      <c r="D40" s="462"/>
      <c r="E40" s="462"/>
      <c r="F40" s="462"/>
      <c r="G40" s="462"/>
      <c r="H40" s="462"/>
      <c r="I40" s="462"/>
      <c r="J40" s="394"/>
    </row>
    <row r="41" spans="1:12" ht="18.75" x14ac:dyDescent="0.3">
      <c r="A41" s="243">
        <v>4.2300000000000004</v>
      </c>
      <c r="B41" s="243">
        <v>4.96</v>
      </c>
      <c r="C41" s="243">
        <v>38.700000000000003</v>
      </c>
      <c r="D41" s="243">
        <v>228.9</v>
      </c>
      <c r="E41" s="242" t="str">
        <f>"1/50"</f>
        <v>1/50</v>
      </c>
      <c r="F41" s="242" t="s">
        <v>706</v>
      </c>
      <c r="G41" s="211" t="str">
        <f>IFERROR(VLOOKUP(F41,[1]Реестр!A:K,2,0),"")</f>
        <v/>
      </c>
      <c r="H41" s="210">
        <v>30</v>
      </c>
      <c r="I41" s="207">
        <v>38.369999999999997</v>
      </c>
      <c r="J41" s="394" t="s">
        <v>20</v>
      </c>
    </row>
    <row r="42" spans="1:12" ht="18.75" x14ac:dyDescent="0.3">
      <c r="A42" s="243">
        <v>13.79</v>
      </c>
      <c r="B42" s="243">
        <v>14.6</v>
      </c>
      <c r="C42" s="243">
        <v>23.4</v>
      </c>
      <c r="D42" s="243">
        <v>266.7</v>
      </c>
      <c r="E42" s="242" t="str">
        <f>"4/56"</f>
        <v>4/56</v>
      </c>
      <c r="F42" s="242" t="s">
        <v>705</v>
      </c>
      <c r="G42" s="211"/>
      <c r="H42" s="210">
        <v>150</v>
      </c>
      <c r="I42" s="207">
        <v>75.42</v>
      </c>
      <c r="J42" s="394" t="s">
        <v>537</v>
      </c>
      <c r="K42" s="237"/>
      <c r="L42" s="237"/>
    </row>
    <row r="43" spans="1:12" ht="18.75" x14ac:dyDescent="0.3">
      <c r="A43" s="243">
        <v>0.18</v>
      </c>
      <c r="B43" s="243">
        <v>0.04</v>
      </c>
      <c r="C43" s="243">
        <v>13.75</v>
      </c>
      <c r="D43" s="243">
        <v>53.136642799999997</v>
      </c>
      <c r="E43" s="242" t="str">
        <f>"11/56"</f>
        <v>11/56</v>
      </c>
      <c r="F43" s="242" t="s">
        <v>499</v>
      </c>
      <c r="G43" s="211"/>
      <c r="H43" s="210">
        <v>200</v>
      </c>
      <c r="I43" s="207">
        <v>8.15</v>
      </c>
      <c r="J43" s="394" t="s">
        <v>477</v>
      </c>
      <c r="K43" s="237"/>
      <c r="L43" s="237"/>
    </row>
    <row r="44" spans="1:12" ht="18.75" x14ac:dyDescent="0.3">
      <c r="A44" s="264">
        <v>1.3</v>
      </c>
      <c r="B44" s="264">
        <v>0.2</v>
      </c>
      <c r="C44" s="264">
        <v>6.7</v>
      </c>
      <c r="D44" s="264">
        <v>39</v>
      </c>
      <c r="E44" s="381" t="str">
        <f>"-"</f>
        <v>-</v>
      </c>
      <c r="F44" s="381" t="s">
        <v>707</v>
      </c>
      <c r="G44" s="211"/>
      <c r="H44" s="206">
        <v>20</v>
      </c>
      <c r="I44" s="207">
        <v>1.8</v>
      </c>
      <c r="J44" s="394" t="s">
        <v>479</v>
      </c>
      <c r="K44" s="237"/>
      <c r="L44" s="237"/>
    </row>
    <row r="45" spans="1:12" ht="18.75" x14ac:dyDescent="0.3">
      <c r="A45" s="264">
        <v>0.52</v>
      </c>
      <c r="B45" s="264">
        <v>0.52</v>
      </c>
      <c r="C45" s="264">
        <v>15.08</v>
      </c>
      <c r="D45" s="264">
        <v>63.283999999999985</v>
      </c>
      <c r="E45" s="381" t="str">
        <f>"-"</f>
        <v>-</v>
      </c>
      <c r="F45" s="381" t="s">
        <v>708</v>
      </c>
      <c r="G45" s="211"/>
      <c r="H45" s="206">
        <v>130</v>
      </c>
      <c r="I45" s="207">
        <v>25.78</v>
      </c>
      <c r="J45" s="394" t="s">
        <v>475</v>
      </c>
      <c r="K45" s="238"/>
      <c r="L45" s="237"/>
    </row>
    <row r="46" spans="1:12" ht="18.75" x14ac:dyDescent="0.3">
      <c r="A46" s="465" t="s">
        <v>25</v>
      </c>
      <c r="B46" s="466"/>
      <c r="C46" s="466"/>
      <c r="D46" s="466"/>
      <c r="E46" s="466"/>
      <c r="F46" s="466"/>
      <c r="G46" s="466"/>
      <c r="H46" s="466"/>
      <c r="I46" s="467"/>
      <c r="J46" s="394"/>
    </row>
    <row r="47" spans="1:12" s="234" customFormat="1" ht="30" x14ac:dyDescent="0.25">
      <c r="A47" s="383">
        <v>1.33</v>
      </c>
      <c r="B47" s="383">
        <v>5.12</v>
      </c>
      <c r="C47" s="383">
        <v>4.0999999999999996</v>
      </c>
      <c r="D47" s="383">
        <v>73.52</v>
      </c>
      <c r="E47" s="382" t="s">
        <v>709</v>
      </c>
      <c r="F47" s="242" t="s">
        <v>710</v>
      </c>
      <c r="G47" s="211" t="str">
        <f>IFERROR(VLOOKUP(F47,[2]Реестр!A:K,2,0),"")</f>
        <v/>
      </c>
      <c r="H47" s="210">
        <v>80</v>
      </c>
      <c r="I47" s="230">
        <v>44.94</v>
      </c>
      <c r="J47" s="239" t="s">
        <v>538</v>
      </c>
    </row>
    <row r="48" spans="1:12" ht="18.75" x14ac:dyDescent="0.3">
      <c r="A48" s="263">
        <v>4.1100000000000003</v>
      </c>
      <c r="B48" s="263">
        <v>4.7699999999999996</v>
      </c>
      <c r="C48" s="263">
        <v>19.5</v>
      </c>
      <c r="D48" s="263">
        <v>143.13</v>
      </c>
      <c r="E48" s="242" t="s">
        <v>711</v>
      </c>
      <c r="F48" s="242" t="s">
        <v>716</v>
      </c>
      <c r="G48" s="211" t="str">
        <f>IFERROR(VLOOKUP(F48,[2]Реестр!A:K,2,0),"")</f>
        <v/>
      </c>
      <c r="H48" s="206">
        <v>250</v>
      </c>
      <c r="I48" s="207">
        <v>50</v>
      </c>
      <c r="J48" s="394" t="s">
        <v>478</v>
      </c>
    </row>
    <row r="49" spans="1:11" ht="18.75" x14ac:dyDescent="0.3">
      <c r="A49" s="263">
        <v>15.55</v>
      </c>
      <c r="B49" s="263">
        <v>15.4</v>
      </c>
      <c r="C49" s="263">
        <v>57.1</v>
      </c>
      <c r="D49" s="263">
        <v>364.2</v>
      </c>
      <c r="E49" s="242" t="s">
        <v>712</v>
      </c>
      <c r="F49" s="242" t="s">
        <v>713</v>
      </c>
      <c r="G49" s="211" t="str">
        <f>IFERROR(VLOOKUP(F49,[2]Реестр!A:K,2,0),"")</f>
        <v/>
      </c>
      <c r="H49" s="206">
        <v>200</v>
      </c>
      <c r="I49" s="206">
        <v>102.59</v>
      </c>
      <c r="J49" s="394" t="s">
        <v>537</v>
      </c>
    </row>
    <row r="50" spans="1:11" ht="18.75" x14ac:dyDescent="0.3">
      <c r="A50" s="263">
        <v>0.18</v>
      </c>
      <c r="B50" s="263">
        <v>0.05</v>
      </c>
      <c r="C50" s="263">
        <v>0.32</v>
      </c>
      <c r="D50" s="263">
        <v>37.582527999999996</v>
      </c>
      <c r="E50" s="242" t="s">
        <v>714</v>
      </c>
      <c r="F50" s="242" t="s">
        <v>328</v>
      </c>
      <c r="G50" s="211">
        <f>IFERROR(VLOOKUP(F50,[2]Реестр!A:K,2,0),"")</f>
        <v>200</v>
      </c>
      <c r="H50" s="206">
        <v>200</v>
      </c>
      <c r="I50" s="207">
        <v>19.54</v>
      </c>
      <c r="J50" s="394" t="s">
        <v>29</v>
      </c>
    </row>
    <row r="51" spans="1:11" ht="18.75" x14ac:dyDescent="0.3">
      <c r="A51" s="264">
        <v>3.3</v>
      </c>
      <c r="B51" s="264">
        <v>0.3</v>
      </c>
      <c r="C51" s="264">
        <v>23.4</v>
      </c>
      <c r="D51" s="264">
        <v>112</v>
      </c>
      <c r="E51" s="242" t="s">
        <v>471</v>
      </c>
      <c r="F51" s="242" t="s">
        <v>715</v>
      </c>
      <c r="G51" s="211" t="str">
        <f>IFERROR(VLOOKUP(F51,[2]Реестр!A:K,2,0),"")</f>
        <v/>
      </c>
      <c r="H51" s="206">
        <v>50</v>
      </c>
      <c r="I51" s="207">
        <v>4.5</v>
      </c>
      <c r="J51" s="394" t="s">
        <v>479</v>
      </c>
    </row>
    <row r="52" spans="1:11" ht="18.75" x14ac:dyDescent="0.3">
      <c r="A52" s="241">
        <v>2</v>
      </c>
      <c r="B52" s="241">
        <v>0.4</v>
      </c>
      <c r="C52" s="241">
        <v>10</v>
      </c>
      <c r="D52" s="241">
        <v>58</v>
      </c>
      <c r="E52" s="381" t="s">
        <v>471</v>
      </c>
      <c r="F52" s="381" t="s">
        <v>707</v>
      </c>
      <c r="G52" s="211" t="str">
        <f>IFERROR(VLOOKUP(F52,[2]Реестр!A:K,2,0),"")</f>
        <v/>
      </c>
      <c r="H52" s="206">
        <v>30</v>
      </c>
      <c r="I52" s="203">
        <v>2.7</v>
      </c>
      <c r="J52" s="394" t="s">
        <v>539</v>
      </c>
    </row>
    <row r="53" spans="1:11" ht="18.75" x14ac:dyDescent="0.3">
      <c r="A53" s="196"/>
      <c r="B53" s="196"/>
      <c r="C53" s="196"/>
      <c r="D53" s="196"/>
      <c r="E53" s="214"/>
      <c r="F53" s="204"/>
      <c r="G53" s="199"/>
      <c r="H53" s="200"/>
      <c r="I53" s="203"/>
      <c r="J53" s="394" t="s">
        <v>540</v>
      </c>
    </row>
    <row r="54" spans="1:11" ht="18.75" x14ac:dyDescent="0.3">
      <c r="A54" s="464" t="s">
        <v>16</v>
      </c>
      <c r="B54" s="464"/>
      <c r="C54" s="464"/>
      <c r="D54" s="464"/>
      <c r="E54" s="464"/>
      <c r="F54" s="464"/>
      <c r="G54" s="206"/>
      <c r="H54" s="206"/>
      <c r="I54" s="207">
        <f>SUM(I41:I45,I47:I53)</f>
        <v>373.78999999999996</v>
      </c>
      <c r="J54" s="206">
        <v>212.99</v>
      </c>
      <c r="K54" s="208">
        <f>I54-J54</f>
        <v>160.79999999999995</v>
      </c>
    </row>
    <row r="55" spans="1:11" ht="18.75" x14ac:dyDescent="0.3">
      <c r="A55" s="465" t="s">
        <v>33</v>
      </c>
      <c r="B55" s="466"/>
      <c r="C55" s="466"/>
      <c r="D55" s="466"/>
      <c r="E55" s="466"/>
      <c r="F55" s="466"/>
      <c r="G55" s="466"/>
      <c r="H55" s="466"/>
      <c r="I55" s="467"/>
      <c r="J55" s="394"/>
    </row>
    <row r="56" spans="1:11" ht="18.75" x14ac:dyDescent="0.3">
      <c r="A56" s="465" t="s">
        <v>19</v>
      </c>
      <c r="B56" s="466"/>
      <c r="C56" s="466"/>
      <c r="D56" s="466"/>
      <c r="E56" s="466"/>
      <c r="F56" s="466"/>
      <c r="G56" s="466"/>
      <c r="H56" s="466"/>
      <c r="I56" s="467"/>
      <c r="J56" s="394"/>
    </row>
    <row r="57" spans="1:11" ht="18.75" x14ac:dyDescent="0.3">
      <c r="A57" s="243">
        <v>3.76</v>
      </c>
      <c r="B57" s="243">
        <v>3.05</v>
      </c>
      <c r="C57" s="243">
        <v>15.15</v>
      </c>
      <c r="D57" s="243">
        <v>112.3</v>
      </c>
      <c r="E57" s="242" t="str">
        <f>"1/50"</f>
        <v>1/50</v>
      </c>
      <c r="F57" s="242" t="s">
        <v>718</v>
      </c>
      <c r="G57" s="211" t="str">
        <f>IFERROR(VLOOKUP(F57,[1]Реестр!A:K,2,0),"")</f>
        <v/>
      </c>
      <c r="H57" s="210">
        <v>30</v>
      </c>
      <c r="I57" s="207">
        <v>38.369999999999997</v>
      </c>
      <c r="J57" s="394" t="s">
        <v>20</v>
      </c>
    </row>
    <row r="58" spans="1:11" ht="18.75" x14ac:dyDescent="0.3">
      <c r="A58" s="243">
        <v>16.39</v>
      </c>
      <c r="B58" s="243">
        <v>19.7</v>
      </c>
      <c r="C58" s="243">
        <v>41.3</v>
      </c>
      <c r="D58" s="243">
        <v>392.3</v>
      </c>
      <c r="E58" s="242" t="str">
        <f>"4/56"</f>
        <v>4/56</v>
      </c>
      <c r="F58" s="242" t="s">
        <v>705</v>
      </c>
      <c r="G58" s="211"/>
      <c r="H58" s="210">
        <v>200</v>
      </c>
      <c r="I58" s="207">
        <v>101.94</v>
      </c>
      <c r="J58" s="394" t="s">
        <v>537</v>
      </c>
    </row>
    <row r="59" spans="1:11" ht="18.75" x14ac:dyDescent="0.3">
      <c r="A59" s="243">
        <v>0.18</v>
      </c>
      <c r="B59" s="243">
        <v>0.04</v>
      </c>
      <c r="C59" s="243">
        <v>13.75</v>
      </c>
      <c r="D59" s="243">
        <v>53.136642799999997</v>
      </c>
      <c r="E59" s="242" t="str">
        <f>"11/56"</f>
        <v>11/56</v>
      </c>
      <c r="F59" s="242" t="s">
        <v>499</v>
      </c>
      <c r="G59" s="211"/>
      <c r="H59" s="210">
        <v>200</v>
      </c>
      <c r="I59" s="207">
        <v>8.15</v>
      </c>
      <c r="J59" s="394" t="s">
        <v>477</v>
      </c>
    </row>
    <row r="60" spans="1:11" ht="18.75" x14ac:dyDescent="0.3">
      <c r="A60" s="264">
        <v>2</v>
      </c>
      <c r="B60" s="264">
        <v>0.4</v>
      </c>
      <c r="C60" s="264">
        <v>10</v>
      </c>
      <c r="D60" s="264">
        <v>58</v>
      </c>
      <c r="E60" s="381" t="str">
        <f>"-"</f>
        <v>-</v>
      </c>
      <c r="F60" s="381" t="s">
        <v>707</v>
      </c>
      <c r="G60" s="211"/>
      <c r="H60" s="206">
        <v>30</v>
      </c>
      <c r="I60" s="207">
        <v>2.7</v>
      </c>
      <c r="J60" s="394" t="s">
        <v>541</v>
      </c>
      <c r="K60" s="237"/>
    </row>
    <row r="61" spans="1:11" ht="18.75" x14ac:dyDescent="0.3">
      <c r="A61" s="264">
        <v>0.52</v>
      </c>
      <c r="B61" s="264">
        <v>0.52</v>
      </c>
      <c r="C61" s="264">
        <v>15.08</v>
      </c>
      <c r="D61" s="264">
        <v>63.283999999999985</v>
      </c>
      <c r="E61" s="381" t="str">
        <f>"-"</f>
        <v>-</v>
      </c>
      <c r="F61" s="381" t="s">
        <v>708</v>
      </c>
      <c r="G61" s="211"/>
      <c r="H61" s="206">
        <v>130</v>
      </c>
      <c r="I61" s="207">
        <v>25.78</v>
      </c>
      <c r="J61" s="394" t="s">
        <v>475</v>
      </c>
      <c r="K61" s="237"/>
    </row>
    <row r="62" spans="1:11" ht="18.75" x14ac:dyDescent="0.3">
      <c r="A62" s="465" t="s">
        <v>25</v>
      </c>
      <c r="B62" s="466"/>
      <c r="C62" s="466"/>
      <c r="D62" s="466"/>
      <c r="E62" s="466"/>
      <c r="F62" s="466"/>
      <c r="G62" s="466"/>
      <c r="H62" s="466"/>
      <c r="I62" s="467"/>
      <c r="J62" s="201" t="str">
        <f>IFERROR(VLOOKUP(O62,Реестр!#REF!,3,0)*Q62/P62,"")</f>
        <v/>
      </c>
      <c r="K62" s="237"/>
    </row>
    <row r="63" spans="1:11" s="234" customFormat="1" ht="30" x14ac:dyDescent="0.25">
      <c r="A63" s="383">
        <v>2.2999999999999998</v>
      </c>
      <c r="B63" s="383">
        <v>6.01</v>
      </c>
      <c r="C63" s="383">
        <v>4.01</v>
      </c>
      <c r="D63" s="383">
        <v>72.147796</v>
      </c>
      <c r="E63" s="242" t="s">
        <v>709</v>
      </c>
      <c r="F63" s="242" t="s">
        <v>710</v>
      </c>
      <c r="G63" s="211" t="str">
        <f>IFERROR(VLOOKUP(F63,[2]Реестр!A:K,2,0),"")</f>
        <v/>
      </c>
      <c r="H63" s="210">
        <v>100</v>
      </c>
      <c r="I63" s="230">
        <v>56.17</v>
      </c>
      <c r="J63" s="239" t="s">
        <v>538</v>
      </c>
      <c r="K63" s="240"/>
    </row>
    <row r="64" spans="1:11" ht="18.75" x14ac:dyDescent="0.3">
      <c r="A64" s="263">
        <v>4.1100000000000003</v>
      </c>
      <c r="B64" s="263">
        <v>4.7699999999999996</v>
      </c>
      <c r="C64" s="263">
        <v>26.5</v>
      </c>
      <c r="D64" s="263">
        <v>213.5</v>
      </c>
      <c r="E64" s="242" t="s">
        <v>711</v>
      </c>
      <c r="F64" s="242" t="s">
        <v>716</v>
      </c>
      <c r="G64" s="211" t="str">
        <f>IFERROR(VLOOKUP(F64,[2]Реестр!A:K,2,0),"")</f>
        <v/>
      </c>
      <c r="H64" s="206">
        <v>250</v>
      </c>
      <c r="I64" s="207">
        <v>50</v>
      </c>
      <c r="J64" s="394" t="s">
        <v>478</v>
      </c>
      <c r="K64" s="237"/>
    </row>
    <row r="65" spans="1:12" ht="18.75" x14ac:dyDescent="0.3">
      <c r="A65" s="348">
        <v>17.5</v>
      </c>
      <c r="B65" s="348">
        <v>15.6</v>
      </c>
      <c r="C65" s="348">
        <v>42.3</v>
      </c>
      <c r="D65" s="348">
        <v>265.7</v>
      </c>
      <c r="E65" s="242" t="s">
        <v>712</v>
      </c>
      <c r="F65" s="242" t="s">
        <v>713</v>
      </c>
      <c r="G65" s="211" t="str">
        <f>IFERROR(VLOOKUP(F65,[2]Реестр!A:K,2,0),"")</f>
        <v/>
      </c>
      <c r="H65" s="206">
        <v>250</v>
      </c>
      <c r="I65" s="206">
        <v>130.94</v>
      </c>
      <c r="J65" s="394" t="s">
        <v>537</v>
      </c>
      <c r="K65" s="237"/>
    </row>
    <row r="66" spans="1:12" ht="18.75" x14ac:dyDescent="0.3">
      <c r="A66" s="263">
        <v>3.94</v>
      </c>
      <c r="B66" s="263">
        <v>5.1100000000000003</v>
      </c>
      <c r="C66" s="263">
        <v>27.5</v>
      </c>
      <c r="D66" s="263">
        <v>170.19544859999999</v>
      </c>
      <c r="E66" s="242" t="s">
        <v>714</v>
      </c>
      <c r="F66" s="386" t="s">
        <v>328</v>
      </c>
      <c r="G66" s="211">
        <f>IFERROR(VLOOKUP(F66,[2]Реестр!A:K,2,0),"")</f>
        <v>200</v>
      </c>
      <c r="H66" s="206">
        <v>200</v>
      </c>
      <c r="I66" s="207">
        <v>19.54</v>
      </c>
      <c r="J66" s="394" t="s">
        <v>29</v>
      </c>
      <c r="K66" s="237"/>
    </row>
    <row r="67" spans="1:12" ht="18.75" x14ac:dyDescent="0.3">
      <c r="A67" s="264">
        <v>0.14000000000000001</v>
      </c>
      <c r="B67" s="264">
        <v>0.1</v>
      </c>
      <c r="C67" s="264">
        <v>1.5</v>
      </c>
      <c r="D67" s="264">
        <v>83.962620000000015</v>
      </c>
      <c r="E67" s="242" t="s">
        <v>471</v>
      </c>
      <c r="F67" s="242" t="s">
        <v>715</v>
      </c>
      <c r="G67" s="211" t="str">
        <f>IFERROR(VLOOKUP(F67,[2]Реестр!A:K,2,0),"")</f>
        <v/>
      </c>
      <c r="H67" s="206">
        <v>50</v>
      </c>
      <c r="I67" s="207">
        <v>4.5</v>
      </c>
      <c r="J67" s="394" t="s">
        <v>479</v>
      </c>
      <c r="K67" s="208"/>
    </row>
    <row r="68" spans="1:12" ht="18.75" x14ac:dyDescent="0.3">
      <c r="A68" s="264">
        <v>3.3</v>
      </c>
      <c r="B68" s="264">
        <v>0.3</v>
      </c>
      <c r="C68" s="264">
        <v>23.4</v>
      </c>
      <c r="D68" s="264">
        <v>112</v>
      </c>
      <c r="E68" s="381" t="s">
        <v>471</v>
      </c>
      <c r="F68" s="381" t="s">
        <v>707</v>
      </c>
      <c r="G68" s="211" t="str">
        <f>IFERROR(VLOOKUP(F68,[2]Реестр!A:K,2,0),"")</f>
        <v/>
      </c>
      <c r="H68" s="206">
        <v>50</v>
      </c>
      <c r="I68" s="207">
        <v>4.25</v>
      </c>
      <c r="J68" s="394" t="s">
        <v>23</v>
      </c>
    </row>
    <row r="69" spans="1:12" ht="18.75" x14ac:dyDescent="0.3">
      <c r="A69" s="209"/>
      <c r="B69" s="209"/>
      <c r="C69" s="209"/>
      <c r="D69" s="209"/>
      <c r="E69" s="218"/>
      <c r="F69" s="217"/>
      <c r="G69" s="211"/>
      <c r="H69" s="206"/>
      <c r="I69" s="207"/>
      <c r="J69" s="394" t="s">
        <v>540</v>
      </c>
    </row>
    <row r="70" spans="1:12" ht="18" customHeight="1" x14ac:dyDescent="0.3">
      <c r="A70" s="464" t="s">
        <v>16</v>
      </c>
      <c r="B70" s="464"/>
      <c r="C70" s="464"/>
      <c r="D70" s="464"/>
      <c r="E70" s="464"/>
      <c r="F70" s="464"/>
      <c r="G70" s="206"/>
      <c r="H70" s="206"/>
      <c r="I70" s="207">
        <f>SUM(I57:I61)+SUM(I63:I69)</f>
        <v>442.34000000000003</v>
      </c>
      <c r="J70" s="201">
        <v>246.31</v>
      </c>
      <c r="K70" s="208">
        <f>J70-I70</f>
        <v>-196.03000000000003</v>
      </c>
    </row>
    <row r="71" spans="1:12" ht="18.75" x14ac:dyDescent="0.3">
      <c r="A71" s="465" t="s">
        <v>34</v>
      </c>
      <c r="B71" s="466"/>
      <c r="C71" s="466"/>
      <c r="D71" s="466"/>
      <c r="E71" s="466"/>
      <c r="F71" s="466"/>
      <c r="G71" s="466"/>
      <c r="H71" s="466"/>
      <c r="I71" s="467"/>
      <c r="J71" s="206"/>
      <c r="K71" s="208"/>
    </row>
    <row r="72" spans="1:12" ht="18.75" x14ac:dyDescent="0.25">
      <c r="A72" s="263">
        <v>0.48</v>
      </c>
      <c r="B72" s="263">
        <v>2.37</v>
      </c>
      <c r="C72" s="263">
        <v>3.09</v>
      </c>
      <c r="D72" s="263">
        <v>36.64</v>
      </c>
      <c r="E72" s="384" t="str">
        <f>"7/26"</f>
        <v>7/26</v>
      </c>
      <c r="F72" s="385" t="s">
        <v>717</v>
      </c>
      <c r="G72" s="211" t="str">
        <f>IFERROR(VLOOKUP(F72,[1]Реестр!A:K,2,0),"")</f>
        <v/>
      </c>
      <c r="H72" s="210">
        <v>30</v>
      </c>
      <c r="I72" s="230">
        <v>19.260000000000002</v>
      </c>
    </row>
    <row r="73" spans="1:12" ht="18.75" x14ac:dyDescent="0.3">
      <c r="A73" s="348">
        <v>19.440000000000001</v>
      </c>
      <c r="B73" s="348">
        <v>19.420000000000002</v>
      </c>
      <c r="C73" s="348">
        <v>57.63</v>
      </c>
      <c r="D73" s="348">
        <v>436.2</v>
      </c>
      <c r="E73" s="242" t="s">
        <v>712</v>
      </c>
      <c r="F73" s="242" t="s">
        <v>713</v>
      </c>
      <c r="G73" s="211" t="str">
        <f>IFERROR(VLOOKUP(F73,[2]Реестр!A:K,2,0),"")</f>
        <v/>
      </c>
      <c r="H73" s="206">
        <v>250</v>
      </c>
      <c r="I73" s="206">
        <v>130.94</v>
      </c>
    </row>
    <row r="74" spans="1:12" ht="18.75" x14ac:dyDescent="0.3">
      <c r="A74" s="263">
        <v>0.18</v>
      </c>
      <c r="B74" s="263">
        <v>0.05</v>
      </c>
      <c r="C74" s="263">
        <v>0.32</v>
      </c>
      <c r="D74" s="263">
        <v>37.582527999999996</v>
      </c>
      <c r="E74" s="242" t="s">
        <v>714</v>
      </c>
      <c r="F74" s="386" t="s">
        <v>328</v>
      </c>
      <c r="G74" s="211">
        <f>IFERROR(VLOOKUP(F74,[2]Реестр!A:K,2,0),"")</f>
        <v>200</v>
      </c>
      <c r="H74" s="206">
        <v>200</v>
      </c>
      <c r="I74" s="207">
        <v>19.54</v>
      </c>
    </row>
    <row r="75" spans="1:12" ht="18.75" x14ac:dyDescent="0.3">
      <c r="A75" s="264">
        <v>3.3</v>
      </c>
      <c r="B75" s="264">
        <v>0.3</v>
      </c>
      <c r="C75" s="264">
        <v>23.4</v>
      </c>
      <c r="D75" s="264">
        <v>112</v>
      </c>
      <c r="E75" s="242" t="str">
        <f>"-"</f>
        <v>-</v>
      </c>
      <c r="F75" s="387" t="s">
        <v>715</v>
      </c>
      <c r="G75" s="211" t="str">
        <f>IFERROR(VLOOKUP(F75,[2]Реестр!A:K,2,0),"")</f>
        <v/>
      </c>
      <c r="H75" s="206">
        <v>50</v>
      </c>
      <c r="I75" s="207">
        <v>4.5</v>
      </c>
    </row>
    <row r="76" spans="1:12" ht="18.75" x14ac:dyDescent="0.3">
      <c r="A76" s="264">
        <v>2</v>
      </c>
      <c r="B76" s="264">
        <v>0.4</v>
      </c>
      <c r="C76" s="264">
        <v>10</v>
      </c>
      <c r="D76" s="264">
        <v>58</v>
      </c>
      <c r="E76" s="381" t="str">
        <f>"-"</f>
        <v>-</v>
      </c>
      <c r="F76" s="381" t="s">
        <v>707</v>
      </c>
      <c r="G76" s="211" t="str">
        <f>IFERROR(VLOOKUP(F76,[2]Реестр!A:K,2,0),"")</f>
        <v/>
      </c>
      <c r="H76" s="206">
        <v>30</v>
      </c>
      <c r="I76" s="207">
        <v>2.7</v>
      </c>
    </row>
    <row r="77" spans="1:12" ht="18.75" x14ac:dyDescent="0.3">
      <c r="A77" s="196"/>
      <c r="B77" s="196"/>
      <c r="C77" s="196"/>
      <c r="D77" s="196"/>
      <c r="E77" s="197"/>
      <c r="F77" s="204"/>
      <c r="G77" s="199"/>
      <c r="H77" s="200"/>
      <c r="I77" s="203"/>
    </row>
    <row r="78" spans="1:12" ht="18.75" x14ac:dyDescent="0.3">
      <c r="A78" s="453" t="s">
        <v>16</v>
      </c>
      <c r="B78" s="454"/>
      <c r="C78" s="454"/>
      <c r="D78" s="454"/>
      <c r="E78" s="454"/>
      <c r="F78" s="455"/>
      <c r="G78" s="205"/>
      <c r="H78" s="206"/>
      <c r="I78" s="207">
        <f>SUM(I72:I77)</f>
        <v>176.93999999999997</v>
      </c>
      <c r="J78" s="215">
        <v>98.52</v>
      </c>
      <c r="L78" s="208">
        <f>J78-I78</f>
        <v>-78.419999999999973</v>
      </c>
    </row>
    <row r="79" spans="1:12" ht="18.75" x14ac:dyDescent="0.25">
      <c r="A79" s="477" t="s">
        <v>35</v>
      </c>
      <c r="B79" s="478"/>
      <c r="C79" s="478"/>
      <c r="D79" s="478"/>
      <c r="E79" s="478"/>
      <c r="F79" s="478"/>
      <c r="G79" s="478"/>
      <c r="H79" s="478"/>
      <c r="I79" s="479"/>
    </row>
    <row r="80" spans="1:12" ht="18.75" x14ac:dyDescent="0.3">
      <c r="A80" s="219">
        <v>7.7</v>
      </c>
      <c r="B80" s="219">
        <v>7.42</v>
      </c>
      <c r="C80" s="219">
        <v>32.090000000000003</v>
      </c>
      <c r="D80" s="219">
        <v>225.88</v>
      </c>
      <c r="E80" s="416" t="s">
        <v>408</v>
      </c>
      <c r="F80" s="406" t="s">
        <v>529</v>
      </c>
      <c r="G80" s="211">
        <f>IFERROR(VLOOKUP(F80,[2]Реестр!A:K,2,0),"")</f>
        <v>100</v>
      </c>
      <c r="H80" s="206">
        <v>80</v>
      </c>
      <c r="I80" s="207">
        <v>50</v>
      </c>
      <c r="K80" s="208"/>
    </row>
    <row r="81" spans="1:12" ht="18.75" x14ac:dyDescent="0.3">
      <c r="A81" s="453" t="s">
        <v>16</v>
      </c>
      <c r="B81" s="454"/>
      <c r="C81" s="454"/>
      <c r="D81" s="454"/>
      <c r="E81" s="454"/>
      <c r="F81" s="455"/>
      <c r="G81" s="205"/>
      <c r="H81" s="206"/>
      <c r="I81" s="207">
        <f>I80</f>
        <v>50</v>
      </c>
      <c r="J81" s="215">
        <v>29</v>
      </c>
    </row>
    <row r="82" spans="1:12" ht="18.75" x14ac:dyDescent="0.3">
      <c r="A82" s="465" t="s">
        <v>36</v>
      </c>
      <c r="B82" s="466"/>
      <c r="C82" s="466"/>
      <c r="D82" s="466"/>
      <c r="E82" s="466"/>
      <c r="F82" s="466"/>
      <c r="G82" s="466"/>
      <c r="H82" s="466"/>
      <c r="I82" s="467"/>
    </row>
    <row r="83" spans="1:12" ht="18.75" x14ac:dyDescent="0.3">
      <c r="A83" s="263">
        <v>4.1100000000000003</v>
      </c>
      <c r="B83" s="263">
        <v>4.7699999999999996</v>
      </c>
      <c r="C83" s="263">
        <v>26.5</v>
      </c>
      <c r="D83" s="263">
        <v>213.5</v>
      </c>
      <c r="E83" s="242" t="s">
        <v>711</v>
      </c>
      <c r="F83" s="242" t="s">
        <v>716</v>
      </c>
      <c r="G83" s="211" t="str">
        <f>IFERROR(VLOOKUP(F83,[2]Реестр!A:K,2,0),"")</f>
        <v/>
      </c>
      <c r="H83" s="206">
        <v>250</v>
      </c>
      <c r="I83" s="207">
        <v>50</v>
      </c>
    </row>
    <row r="84" spans="1:12" ht="18.75" x14ac:dyDescent="0.3">
      <c r="A84" s="453" t="s">
        <v>16</v>
      </c>
      <c r="B84" s="454"/>
      <c r="C84" s="454"/>
      <c r="D84" s="454"/>
      <c r="E84" s="454"/>
      <c r="F84" s="455"/>
      <c r="G84" s="205"/>
      <c r="H84" s="206"/>
      <c r="I84" s="207">
        <f>SUM(I83:I83)</f>
        <v>50</v>
      </c>
      <c r="J84" s="215">
        <v>27</v>
      </c>
    </row>
    <row r="85" spans="1:12" ht="18" hidden="1" customHeight="1" x14ac:dyDescent="0.3">
      <c r="A85" s="465" t="s">
        <v>503</v>
      </c>
      <c r="B85" s="466"/>
      <c r="C85" s="466"/>
      <c r="D85" s="466"/>
      <c r="E85" s="466"/>
      <c r="F85" s="466"/>
      <c r="G85" s="466"/>
      <c r="H85" s="466"/>
      <c r="I85" s="467"/>
    </row>
    <row r="86" spans="1:12" s="234" customFormat="1" ht="27" hidden="1" customHeight="1" x14ac:dyDescent="0.25">
      <c r="A86" s="368">
        <v>1.29</v>
      </c>
      <c r="B86" s="368">
        <v>5.97</v>
      </c>
      <c r="C86" s="368">
        <v>7.97</v>
      </c>
      <c r="D86" s="368">
        <v>86.23</v>
      </c>
      <c r="E86" s="357" t="str">
        <f>"7/80"</f>
        <v>7/80</v>
      </c>
      <c r="F86" s="228" t="s">
        <v>680</v>
      </c>
      <c r="G86" s="211" t="str">
        <f>IFERROR(VLOOKUP(F86,[2]Реестр!A:K,2,0),"")</f>
        <v/>
      </c>
      <c r="H86" s="210">
        <v>100</v>
      </c>
      <c r="I86" s="230">
        <v>52.76</v>
      </c>
      <c r="J86" s="268"/>
    </row>
    <row r="87" spans="1:12" ht="18.75" hidden="1" x14ac:dyDescent="0.3">
      <c r="A87" s="263">
        <v>12.44</v>
      </c>
      <c r="B87" s="263">
        <v>7.77</v>
      </c>
      <c r="C87" s="263">
        <v>25.16</v>
      </c>
      <c r="D87" s="263">
        <v>208</v>
      </c>
      <c r="E87" s="267" t="str">
        <f>"6/70"</f>
        <v>6/70</v>
      </c>
      <c r="F87" s="267" t="s">
        <v>220</v>
      </c>
      <c r="G87" s="211" t="str">
        <f>IFERROR(VLOOKUP(F87,[2]Реестр!A:K,2,0),"")</f>
        <v>300</v>
      </c>
      <c r="H87" s="206">
        <v>250</v>
      </c>
      <c r="I87" s="207">
        <v>50</v>
      </c>
    </row>
    <row r="88" spans="1:12" ht="18.75" hidden="1" x14ac:dyDescent="0.3">
      <c r="A88" s="348">
        <v>19.440000000000001</v>
      </c>
      <c r="B88" s="348">
        <v>21.37</v>
      </c>
      <c r="C88" s="348">
        <v>55.36</v>
      </c>
      <c r="D88" s="348">
        <v>508.5</v>
      </c>
      <c r="E88" s="349" t="str">
        <f>"8/35"</f>
        <v>8/35</v>
      </c>
      <c r="F88" s="349" t="s">
        <v>549</v>
      </c>
      <c r="G88" s="211" t="str">
        <f>IFERROR(VLOOKUP(F88,[2]Реестр!A:K,2,0),"")</f>
        <v/>
      </c>
      <c r="H88" s="206">
        <v>250</v>
      </c>
      <c r="I88" s="206">
        <v>140.84</v>
      </c>
    </row>
    <row r="89" spans="1:12" ht="18.75" hidden="1" x14ac:dyDescent="0.3">
      <c r="A89" s="263">
        <v>0.14000000000000001</v>
      </c>
      <c r="B89" s="263">
        <v>0.1</v>
      </c>
      <c r="C89" s="263">
        <v>1.5</v>
      </c>
      <c r="D89" s="263">
        <v>83.962620000000015</v>
      </c>
      <c r="E89" s="349" t="str">
        <f>"11/1"</f>
        <v>11/1</v>
      </c>
      <c r="F89" s="349" t="s">
        <v>317</v>
      </c>
      <c r="G89" s="211">
        <f>IFERROR(VLOOKUP(F89,[2]Реестр!A:K,2,0),"")</f>
        <v>200</v>
      </c>
      <c r="H89" s="206">
        <v>200</v>
      </c>
      <c r="I89" s="207">
        <v>12.8</v>
      </c>
    </row>
    <row r="90" spans="1:12" ht="18.75" hidden="1" x14ac:dyDescent="0.3">
      <c r="A90" s="209">
        <v>3.3</v>
      </c>
      <c r="B90" s="209">
        <v>0.3</v>
      </c>
      <c r="C90" s="209">
        <v>23.4</v>
      </c>
      <c r="D90" s="209">
        <v>112</v>
      </c>
      <c r="E90" s="210" t="s">
        <v>471</v>
      </c>
      <c r="F90" s="217" t="s">
        <v>66</v>
      </c>
      <c r="G90" s="211" t="str">
        <f>IFERROR(VLOOKUP(F90,[2]Реестр!A:K,2,0),"")</f>
        <v>100</v>
      </c>
      <c r="H90" s="206">
        <v>50</v>
      </c>
      <c r="I90" s="207">
        <v>4.5</v>
      </c>
    </row>
    <row r="91" spans="1:12" ht="18.75" hidden="1" x14ac:dyDescent="0.3">
      <c r="A91" s="209">
        <v>3.3</v>
      </c>
      <c r="B91" s="209">
        <v>0.6</v>
      </c>
      <c r="C91" s="209">
        <v>16.7</v>
      </c>
      <c r="D91" s="209">
        <v>96.5</v>
      </c>
      <c r="E91" s="210" t="s">
        <v>471</v>
      </c>
      <c r="F91" s="217" t="s">
        <v>65</v>
      </c>
      <c r="G91" s="211" t="str">
        <f>IFERROR(VLOOKUP(F91,[2]Реестр!A:K,2,0),"")</f>
        <v>100</v>
      </c>
      <c r="H91" s="206">
        <v>50</v>
      </c>
      <c r="I91" s="207">
        <v>4.5</v>
      </c>
    </row>
    <row r="92" spans="1:12" ht="18.75" hidden="1" x14ac:dyDescent="0.3">
      <c r="A92" s="196"/>
      <c r="B92" s="196"/>
      <c r="C92" s="196"/>
      <c r="D92" s="196"/>
      <c r="E92" s="214"/>
      <c r="F92" s="204"/>
      <c r="G92" s="199"/>
      <c r="H92" s="200"/>
      <c r="I92" s="203"/>
      <c r="K92" s="208"/>
    </row>
    <row r="93" spans="1:12" ht="18.75" hidden="1" x14ac:dyDescent="0.3">
      <c r="A93" s="464" t="s">
        <v>16</v>
      </c>
      <c r="B93" s="464"/>
      <c r="C93" s="464"/>
      <c r="D93" s="464"/>
      <c r="E93" s="464"/>
      <c r="F93" s="464"/>
      <c r="G93" s="205"/>
      <c r="H93" s="206"/>
      <c r="I93" s="207">
        <f>SUM(I86:I92)</f>
        <v>265.39999999999998</v>
      </c>
      <c r="J93" s="215">
        <v>147.79</v>
      </c>
      <c r="L93" s="208">
        <f>J93-I93</f>
        <v>-117.60999999999999</v>
      </c>
    </row>
    <row r="94" spans="1:12" ht="18.75" hidden="1" x14ac:dyDescent="0.3">
      <c r="A94" s="462" t="s">
        <v>544</v>
      </c>
      <c r="B94" s="462"/>
      <c r="C94" s="462"/>
      <c r="D94" s="462"/>
      <c r="E94" s="462"/>
      <c r="F94" s="462"/>
      <c r="G94" s="462"/>
      <c r="H94" s="462"/>
      <c r="I94" s="462"/>
      <c r="K94" s="208"/>
    </row>
    <row r="95" spans="1:12" ht="18.75" hidden="1" x14ac:dyDescent="0.25">
      <c r="A95" s="209">
        <f>IFERROR(VLOOKUP(F95,[1]Реестр!A:K,3,0)*H95/G95,"")</f>
        <v>5.08</v>
      </c>
      <c r="B95" s="209">
        <f>IFERROR(VLOOKUP(F95,[1]Реестр!A:K,4,0)*H95/G95,"")</f>
        <v>11.55</v>
      </c>
      <c r="C95" s="209">
        <f>IFERROR(VLOOKUP(F95,[1]Реестр!A:K,5,0)*H95/G95,"")</f>
        <v>9.9700000000000006</v>
      </c>
      <c r="D95" s="209">
        <f>IFERROR(VLOOKUP(F95,[1]Реестр!A:K,6,0)*H95/G95,"")</f>
        <v>164.15</v>
      </c>
      <c r="E95" s="210" t="str">
        <f>IFERROR(VLOOKUP(F95,[1]Реестр!A:K,11,0),"")</f>
        <v>1*51</v>
      </c>
      <c r="F95" s="398" t="s">
        <v>91</v>
      </c>
      <c r="G95" s="211" t="str">
        <f>IFERROR(VLOOKUP(F95,[1]Реестр!A:K,2,0),"")</f>
        <v>45</v>
      </c>
      <c r="H95" s="143">
        <v>45</v>
      </c>
      <c r="I95" s="450">
        <v>149.52000000000001</v>
      </c>
      <c r="K95" s="208"/>
    </row>
    <row r="96" spans="1:12" ht="33.75" hidden="1" customHeight="1" x14ac:dyDescent="0.25">
      <c r="A96" s="209">
        <f>IFERROR(VLOOKUP(F96,[1]Реестр!A:K,3,0)*H96/G96,"")</f>
        <v>6.3749999999999991</v>
      </c>
      <c r="B96" s="209">
        <f>IFERROR(VLOOKUP(F96,[1]Реестр!A:K,4,0)*H96/G96,"")</f>
        <v>5.7499999999999991</v>
      </c>
      <c r="C96" s="209">
        <f>IFERROR(VLOOKUP(F96,[1]Реестр!A:K,5,0)*H96/G96,"")</f>
        <v>0.375</v>
      </c>
      <c r="D96" s="209">
        <f>IFERROR(VLOOKUP(F96,[1]Реестр!A:K,6,0)*H96/G96,"")</f>
        <v>78.75</v>
      </c>
      <c r="E96" s="210" t="str">
        <f>IFERROR(VLOOKUP(F96,[1]Реестр!A:K,11,0),"")</f>
        <v>4*57</v>
      </c>
      <c r="F96" s="398" t="s">
        <v>162</v>
      </c>
      <c r="G96" s="211" t="str">
        <f>IFERROR(VLOOKUP(F96,[1]Реестр!A:K,2,0),"")</f>
        <v>40</v>
      </c>
      <c r="H96" s="143">
        <v>50</v>
      </c>
      <c r="I96" s="451"/>
      <c r="K96" s="208"/>
    </row>
    <row r="97" spans="1:12" ht="18.75" hidden="1" x14ac:dyDescent="0.25">
      <c r="A97" s="243">
        <v>6.26</v>
      </c>
      <c r="B97" s="243">
        <v>5.9</v>
      </c>
      <c r="C97" s="243">
        <v>28.4</v>
      </c>
      <c r="D97" s="243">
        <v>194.19400152</v>
      </c>
      <c r="E97" s="228" t="str">
        <f>"2/68"</f>
        <v>2/68</v>
      </c>
      <c r="F97" s="228" t="s">
        <v>666</v>
      </c>
      <c r="G97" s="211" t="str">
        <f>IFERROR(VLOOKUP(F97,[1]Реестр!A:K,2,0),"")</f>
        <v/>
      </c>
      <c r="H97" s="143">
        <v>200</v>
      </c>
      <c r="I97" s="451"/>
      <c r="K97" s="208"/>
    </row>
    <row r="98" spans="1:12" ht="30" hidden="1" x14ac:dyDescent="0.25">
      <c r="A98" s="243">
        <v>2.74</v>
      </c>
      <c r="B98" s="243">
        <v>2.2000000000000002</v>
      </c>
      <c r="C98" s="243">
        <v>4.8899999999999997</v>
      </c>
      <c r="D98" s="243">
        <v>49.717531084999983</v>
      </c>
      <c r="E98" s="228" t="str">
        <f>"11/59 (2004 № 692)"</f>
        <v>11/59 (2004 № 692)</v>
      </c>
      <c r="F98" s="228" t="s">
        <v>667</v>
      </c>
      <c r="G98" s="211">
        <f>IFERROR(VLOOKUP(F98,[1]Реестр!A:K,2,0),"")</f>
        <v>200</v>
      </c>
      <c r="H98" s="143" t="str">
        <f>"200"</f>
        <v>200</v>
      </c>
      <c r="I98" s="451"/>
      <c r="K98" s="208"/>
    </row>
    <row r="99" spans="1:12" ht="18.75" hidden="1" x14ac:dyDescent="0.25">
      <c r="A99" s="209">
        <f>IFERROR(VLOOKUP(F99,[1]Реестр!A:K,3,0)*H99/G99,"")</f>
        <v>1.32</v>
      </c>
      <c r="B99" s="209">
        <f>IFERROR(VLOOKUP(F99,[1]Реестр!A:K,4,0)*H99/G99,"")</f>
        <v>0.24</v>
      </c>
      <c r="C99" s="209">
        <f>IFERROR(VLOOKUP(F99,[1]Реестр!A:K,5,0)*H99/G99,"")</f>
        <v>6.68</v>
      </c>
      <c r="D99" s="209">
        <f>IFERROR(VLOOKUP(F99,[1]Реестр!A:K,6,0)*H99/G99,"")</f>
        <v>38.6</v>
      </c>
      <c r="E99" s="210" t="str">
        <f>IFERROR(VLOOKUP(F99,[1]Реестр!A:K,11,0),"")</f>
        <v>-</v>
      </c>
      <c r="F99" s="217" t="s">
        <v>65</v>
      </c>
      <c r="G99" s="211" t="str">
        <f>IFERROR(VLOOKUP(F99,[1]Реестр!A:K,2,0),"")</f>
        <v>100</v>
      </c>
      <c r="H99" s="229" t="str">
        <f>"20"</f>
        <v>20</v>
      </c>
      <c r="I99" s="452"/>
      <c r="K99" s="208"/>
    </row>
    <row r="100" spans="1:12" ht="18.75" hidden="1" x14ac:dyDescent="0.3">
      <c r="A100" s="464" t="s">
        <v>16</v>
      </c>
      <c r="B100" s="464"/>
      <c r="C100" s="464"/>
      <c r="D100" s="464"/>
      <c r="E100" s="464"/>
      <c r="F100" s="464"/>
      <c r="G100" s="205"/>
      <c r="H100" s="206"/>
      <c r="I100" s="207">
        <f>SUM(I95:I99)</f>
        <v>149.52000000000001</v>
      </c>
      <c r="K100" s="208"/>
    </row>
    <row r="101" spans="1:12" ht="18.75" hidden="1" x14ac:dyDescent="0.3">
      <c r="A101" s="462" t="s">
        <v>545</v>
      </c>
      <c r="B101" s="462"/>
      <c r="C101" s="462"/>
      <c r="D101" s="462"/>
      <c r="E101" s="462"/>
      <c r="F101" s="462"/>
      <c r="G101" s="462"/>
      <c r="H101" s="462"/>
      <c r="I101" s="462"/>
      <c r="J101" s="215">
        <v>85.2</v>
      </c>
      <c r="K101" s="208"/>
      <c r="L101" s="208">
        <f>J101-I101</f>
        <v>85.2</v>
      </c>
    </row>
    <row r="102" spans="1:12" ht="18.75" hidden="1" x14ac:dyDescent="0.25">
      <c r="A102" s="209">
        <f>IFERROR(VLOOKUP(F102,[1]Реестр!A:K,3,0)*H102/G102,"")</f>
        <v>6.3749999999999991</v>
      </c>
      <c r="B102" s="209">
        <f>IFERROR(VLOOKUP(F102,[1]Реестр!A:K,4,0)*H102/G102,"")</f>
        <v>5.7499999999999991</v>
      </c>
      <c r="C102" s="209">
        <f>IFERROR(VLOOKUP(F102,[1]Реестр!A:K,5,0)*H102/G102,"")</f>
        <v>0.375</v>
      </c>
      <c r="D102" s="209">
        <f>IFERROR(VLOOKUP(F102,[1]Реестр!A:K,6,0)*H102/G102,"")</f>
        <v>78.75</v>
      </c>
      <c r="E102" s="210" t="str">
        <f>IFERROR(VLOOKUP(F102,[1]Реестр!A:K,11,0),"")</f>
        <v>4*57</v>
      </c>
      <c r="F102" s="398" t="s">
        <v>162</v>
      </c>
      <c r="G102" s="211" t="str">
        <f>IFERROR(VLOOKUP(F102,[1]Реестр!A:K,2,0),"")</f>
        <v>40</v>
      </c>
      <c r="H102" s="143">
        <v>50</v>
      </c>
      <c r="I102" s="450">
        <v>149.52000000000001</v>
      </c>
      <c r="K102" s="208"/>
    </row>
    <row r="103" spans="1:12" ht="18.75" hidden="1" customHeight="1" x14ac:dyDescent="0.25">
      <c r="A103" s="243">
        <v>6.03</v>
      </c>
      <c r="B103" s="243">
        <v>12.83</v>
      </c>
      <c r="C103" s="243">
        <v>34.92</v>
      </c>
      <c r="D103" s="243">
        <v>275.69060599999995</v>
      </c>
      <c r="E103" s="228" t="str">
        <f>"2/78"</f>
        <v>2/78</v>
      </c>
      <c r="F103" s="228" t="s">
        <v>668</v>
      </c>
      <c r="G103" s="211" t="str">
        <f>IFERROR(VLOOKUP(F103,[1]Реестр!A:K,2,0),"")</f>
        <v/>
      </c>
      <c r="H103" s="143">
        <v>200</v>
      </c>
      <c r="I103" s="451"/>
      <c r="K103" s="208"/>
    </row>
    <row r="104" spans="1:12" ht="18.75" hidden="1" x14ac:dyDescent="0.25">
      <c r="A104" s="209">
        <f>IFERROR(VLOOKUP(F104,[1]Реестр!A:K,3,0)*H104/G104,"")</f>
        <v>0.17499999999999999</v>
      </c>
      <c r="B104" s="209">
        <f>IFERROR(VLOOKUP(F104,[1]Реестр!A:K,4,0)*H104/G104,"")</f>
        <v>0.105</v>
      </c>
      <c r="C104" s="209">
        <f>IFERROR(VLOOKUP(F104,[1]Реестр!A:K,5,0)*H104/G104,"")</f>
        <v>10.01</v>
      </c>
      <c r="D104" s="209">
        <f>IFERROR(VLOOKUP(F104,[1]Реестр!A:K,6,0)*H104/G104,"")</f>
        <v>40.6</v>
      </c>
      <c r="E104" s="210" t="str">
        <f>IFERROR(VLOOKUP(F104,[1]Реестр!A:K,11,0),"")</f>
        <v>12*2</v>
      </c>
      <c r="F104" s="398" t="s">
        <v>371</v>
      </c>
      <c r="G104" s="211" t="str">
        <f>IFERROR(VLOOKUP(F104,[1]Реестр!A:K,2,0),"")</f>
        <v>100</v>
      </c>
      <c r="H104" s="143">
        <v>35</v>
      </c>
      <c r="I104" s="451"/>
      <c r="K104" s="208"/>
    </row>
    <row r="105" spans="1:12" ht="18.75" hidden="1" x14ac:dyDescent="0.25">
      <c r="A105" s="243">
        <v>0.18</v>
      </c>
      <c r="B105" s="243">
        <v>0.04</v>
      </c>
      <c r="C105" s="243">
        <v>13.75</v>
      </c>
      <c r="D105" s="243">
        <v>53.136642799999997</v>
      </c>
      <c r="E105" s="210" t="s">
        <v>353</v>
      </c>
      <c r="F105" s="228" t="s">
        <v>563</v>
      </c>
      <c r="G105" s="211" t="str">
        <f>IFERROR(VLOOKUP(F105,[1]Реестр!A:K,2,0),"")</f>
        <v/>
      </c>
      <c r="H105" s="143" t="str">
        <f>"200"</f>
        <v>200</v>
      </c>
      <c r="I105" s="451"/>
      <c r="K105" s="208"/>
    </row>
    <row r="106" spans="1:12" ht="18.75" hidden="1" x14ac:dyDescent="0.25">
      <c r="A106" s="209">
        <f>IFERROR(VLOOKUP(F106,[1]Реестр!A:K,3,0)*H106/G106,"")</f>
        <v>1.32</v>
      </c>
      <c r="B106" s="209">
        <f>IFERROR(VLOOKUP(F106,[1]Реестр!A:K,4,0)*H106/G106,"")</f>
        <v>0.24</v>
      </c>
      <c r="C106" s="209">
        <f>IFERROR(VLOOKUP(F106,[1]Реестр!A:K,5,0)*H106/G106,"")</f>
        <v>6.68</v>
      </c>
      <c r="D106" s="209">
        <f>IFERROR(VLOOKUP(F106,[1]Реестр!A:K,6,0)*H106/G106,"")</f>
        <v>38.6</v>
      </c>
      <c r="E106" s="210" t="str">
        <f>IFERROR(VLOOKUP(F106,[1]Реестр!A:K,11,0),"")</f>
        <v>-</v>
      </c>
      <c r="F106" s="217" t="s">
        <v>65</v>
      </c>
      <c r="G106" s="211" t="str">
        <f>IFERROR(VLOOKUP(F106,[1]Реестр!A:K,2,0),"")</f>
        <v>100</v>
      </c>
      <c r="H106" s="229" t="str">
        <f>"20"</f>
        <v>20</v>
      </c>
      <c r="I106" s="451"/>
      <c r="K106" s="208"/>
    </row>
    <row r="107" spans="1:12" ht="18.75" hidden="1" x14ac:dyDescent="0.3">
      <c r="A107" s="209">
        <f>IFERROR(VLOOKUP(F107,[1]Реестр!A:K,3,0)*H107/G107,"")</f>
        <v>1.32</v>
      </c>
      <c r="B107" s="209">
        <f>IFERROR(VLOOKUP(F107,[1]Реестр!A:K,4,0)*H107/G107,"")</f>
        <v>0.12</v>
      </c>
      <c r="C107" s="209">
        <f>IFERROR(VLOOKUP(F107,[1]Реестр!A:K,5,0)*H107/G107,"")</f>
        <v>9.36</v>
      </c>
      <c r="D107" s="209">
        <f>IFERROR(VLOOKUP(F107,[1]Реестр!A:K,6,0)*H107/G107,"")</f>
        <v>44.8</v>
      </c>
      <c r="E107" s="210" t="str">
        <f>IFERROR(VLOOKUP(F107,[1]Реестр!A:K,11,0),"")</f>
        <v>-</v>
      </c>
      <c r="F107" s="217" t="s">
        <v>66</v>
      </c>
      <c r="G107" s="211" t="str">
        <f>IFERROR(VLOOKUP(F107,[1]Реестр!A:K,2,0),"")</f>
        <v>100</v>
      </c>
      <c r="H107" s="206">
        <v>20</v>
      </c>
      <c r="I107" s="452"/>
      <c r="K107" s="208"/>
    </row>
    <row r="108" spans="1:12" ht="18.75" hidden="1" x14ac:dyDescent="0.3">
      <c r="A108" s="464" t="s">
        <v>16</v>
      </c>
      <c r="B108" s="464"/>
      <c r="C108" s="464"/>
      <c r="D108" s="464"/>
      <c r="E108" s="464"/>
      <c r="F108" s="464"/>
      <c r="G108" s="205"/>
      <c r="H108" s="206"/>
      <c r="I108" s="207">
        <f>SUM(I102)</f>
        <v>149.52000000000001</v>
      </c>
      <c r="K108" s="208"/>
    </row>
    <row r="109" spans="1:12" ht="18.75" hidden="1" x14ac:dyDescent="0.3">
      <c r="A109" s="462" t="s">
        <v>566</v>
      </c>
      <c r="B109" s="462"/>
      <c r="C109" s="462"/>
      <c r="D109" s="462"/>
      <c r="E109" s="462"/>
      <c r="F109" s="462"/>
      <c r="G109" s="462"/>
      <c r="H109" s="462"/>
      <c r="I109" s="462"/>
      <c r="K109" s="208"/>
    </row>
    <row r="110" spans="1:12" ht="30" hidden="1" x14ac:dyDescent="0.25">
      <c r="A110" s="367">
        <v>1.03</v>
      </c>
      <c r="B110" s="396">
        <v>4.7699999999999996</v>
      </c>
      <c r="C110" s="396">
        <v>6.38</v>
      </c>
      <c r="D110" s="396">
        <v>68.989999999999995</v>
      </c>
      <c r="E110" s="357" t="str">
        <f>"7/80"</f>
        <v>7/80</v>
      </c>
      <c r="F110" s="228" t="s">
        <v>678</v>
      </c>
      <c r="G110" s="211" t="str">
        <f>IFERROR(VLOOKUP(F110,[2]Реестр!A:K,2,0),"")</f>
        <v/>
      </c>
      <c r="H110" s="263" t="s">
        <v>81</v>
      </c>
      <c r="I110" s="450">
        <v>224.27</v>
      </c>
      <c r="K110" s="208"/>
    </row>
    <row r="111" spans="1:12" ht="18.75" hidden="1" x14ac:dyDescent="0.25">
      <c r="A111" s="263">
        <v>12.44</v>
      </c>
      <c r="B111" s="263">
        <v>7.77</v>
      </c>
      <c r="C111" s="263">
        <v>25.16</v>
      </c>
      <c r="D111" s="263">
        <v>208</v>
      </c>
      <c r="E111" s="267" t="str">
        <f>"6/70"</f>
        <v>6/70</v>
      </c>
      <c r="F111" s="267" t="s">
        <v>220</v>
      </c>
      <c r="G111" s="211" t="str">
        <f>IFERROR(VLOOKUP(F111,[2]Реестр!A:K,2,0),"")</f>
        <v>300</v>
      </c>
      <c r="H111" s="243" t="str">
        <f>"250"</f>
        <v>250</v>
      </c>
      <c r="I111" s="451"/>
      <c r="K111" s="208"/>
    </row>
    <row r="112" spans="1:12" ht="18.75" hidden="1" x14ac:dyDescent="0.25">
      <c r="A112" s="263">
        <v>16.579999999999998</v>
      </c>
      <c r="B112" s="263">
        <v>19.5</v>
      </c>
      <c r="C112" s="263">
        <v>68.38</v>
      </c>
      <c r="D112" s="263">
        <v>327.07</v>
      </c>
      <c r="E112" s="349" t="str">
        <f>"8/52"</f>
        <v>8/52</v>
      </c>
      <c r="F112" s="395" t="s">
        <v>671</v>
      </c>
      <c r="G112" s="211"/>
      <c r="H112" s="266">
        <v>200</v>
      </c>
      <c r="I112" s="451"/>
      <c r="K112" s="208"/>
    </row>
    <row r="113" spans="1:11" ht="18.75" hidden="1" x14ac:dyDescent="0.25">
      <c r="A113" s="263">
        <v>0.14000000000000001</v>
      </c>
      <c r="B113" s="263">
        <v>0.1</v>
      </c>
      <c r="C113" s="263">
        <v>11</v>
      </c>
      <c r="D113" s="263">
        <v>83.962620000000015</v>
      </c>
      <c r="E113" s="228" t="str">
        <f>"11/73"</f>
        <v>11/73</v>
      </c>
      <c r="F113" s="228" t="s">
        <v>669</v>
      </c>
      <c r="G113" s="211"/>
      <c r="H113" s="263" t="s">
        <v>118</v>
      </c>
      <c r="I113" s="451"/>
      <c r="K113" s="208"/>
    </row>
    <row r="114" spans="1:11" ht="18.75" hidden="1" customHeight="1" x14ac:dyDescent="0.25">
      <c r="A114" s="264">
        <v>2.64</v>
      </c>
      <c r="B114" s="264">
        <v>0.48</v>
      </c>
      <c r="C114" s="264">
        <v>16.68</v>
      </c>
      <c r="D114" s="264">
        <v>77.352000000000004</v>
      </c>
      <c r="E114" s="228" t="str">
        <f>"-"</f>
        <v>-</v>
      </c>
      <c r="F114" s="217" t="s">
        <v>66</v>
      </c>
      <c r="G114" s="211"/>
      <c r="H114" s="264" t="str">
        <f>"40"</f>
        <v>40</v>
      </c>
      <c r="I114" s="451"/>
      <c r="K114" s="208"/>
    </row>
    <row r="115" spans="1:11" ht="18.75" hidden="1" x14ac:dyDescent="0.25">
      <c r="A115" s="264">
        <v>2.64</v>
      </c>
      <c r="B115" s="264">
        <v>0.48</v>
      </c>
      <c r="C115" s="264">
        <v>16.68</v>
      </c>
      <c r="D115" s="264">
        <v>77.352000000000004</v>
      </c>
      <c r="E115" s="265" t="str">
        <f>"-"</f>
        <v>-</v>
      </c>
      <c r="F115" s="217" t="s">
        <v>65</v>
      </c>
      <c r="G115" s="211" t="str">
        <f>IFERROR(VLOOKUP(F115,[2]Реестр!A:K,2,0),"")</f>
        <v>100</v>
      </c>
      <c r="H115" s="264" t="str">
        <f>"40"</f>
        <v>40</v>
      </c>
      <c r="I115" s="451"/>
      <c r="K115" s="208"/>
    </row>
    <row r="116" spans="1:11" ht="18.75" hidden="1" x14ac:dyDescent="0.25">
      <c r="A116" s="241"/>
      <c r="B116" s="241"/>
      <c r="C116" s="241"/>
      <c r="D116" s="241"/>
      <c r="E116" s="265"/>
      <c r="F116" s="217"/>
      <c r="G116" s="211"/>
      <c r="H116" s="269"/>
      <c r="I116" s="451"/>
      <c r="K116" s="208"/>
    </row>
    <row r="117" spans="1:11" ht="18.75" hidden="1" x14ac:dyDescent="0.3">
      <c r="A117" s="464" t="s">
        <v>16</v>
      </c>
      <c r="B117" s="464"/>
      <c r="C117" s="464"/>
      <c r="D117" s="464"/>
      <c r="E117" s="464"/>
      <c r="F117" s="464"/>
      <c r="G117" s="205"/>
      <c r="H117" s="206"/>
      <c r="I117" s="207">
        <f>SUM(I110:I116)</f>
        <v>224.27</v>
      </c>
      <c r="K117" s="208"/>
    </row>
    <row r="118" spans="1:11" ht="18.75" hidden="1" x14ac:dyDescent="0.3">
      <c r="A118" s="462" t="s">
        <v>550</v>
      </c>
      <c r="B118" s="462"/>
      <c r="C118" s="462"/>
      <c r="D118" s="462"/>
      <c r="E118" s="462"/>
      <c r="F118" s="462"/>
      <c r="G118" s="462"/>
      <c r="H118" s="462"/>
      <c r="I118" s="462"/>
      <c r="K118" s="208"/>
    </row>
    <row r="119" spans="1:11" ht="30" hidden="1" x14ac:dyDescent="0.25">
      <c r="A119" s="367">
        <v>1.03</v>
      </c>
      <c r="B119" s="396">
        <v>4.7699999999999996</v>
      </c>
      <c r="C119" s="396">
        <v>6.38</v>
      </c>
      <c r="D119" s="396">
        <v>68.989999999999995</v>
      </c>
      <c r="E119" s="357" t="str">
        <f>"7/80"</f>
        <v>7/80</v>
      </c>
      <c r="F119" s="228" t="s">
        <v>678</v>
      </c>
      <c r="G119" s="211" t="str">
        <f>IFERROR(VLOOKUP(F119,[2]Реестр!A:K,2,0),"")</f>
        <v/>
      </c>
      <c r="H119" s="210">
        <v>80</v>
      </c>
      <c r="I119" s="450">
        <v>224.27</v>
      </c>
      <c r="K119" s="208"/>
    </row>
    <row r="120" spans="1:11" ht="18.75" hidden="1" x14ac:dyDescent="0.3">
      <c r="A120" s="263">
        <v>5.55</v>
      </c>
      <c r="B120" s="263">
        <v>12.08</v>
      </c>
      <c r="C120" s="263">
        <v>17.95</v>
      </c>
      <c r="D120" s="263">
        <v>199.78905478333331</v>
      </c>
      <c r="E120" s="227" t="str">
        <f>"6/70-1"</f>
        <v>6/70-1</v>
      </c>
      <c r="F120" s="228" t="s">
        <v>670</v>
      </c>
      <c r="G120" s="211" t="str">
        <f>IFERROR(VLOOKUP(F120,[2]Реестр!A:K,2,0),"")</f>
        <v>300</v>
      </c>
      <c r="H120" s="206">
        <v>250</v>
      </c>
      <c r="I120" s="451"/>
      <c r="K120" s="208"/>
    </row>
    <row r="121" spans="1:11" ht="18.75" hidden="1" x14ac:dyDescent="0.3">
      <c r="A121" s="263">
        <v>16.579999999999998</v>
      </c>
      <c r="B121" s="263">
        <v>19.5</v>
      </c>
      <c r="C121" s="263">
        <v>68.38</v>
      </c>
      <c r="D121" s="263">
        <v>327.07</v>
      </c>
      <c r="E121" s="349" t="str">
        <f>"8/52"</f>
        <v>8/52</v>
      </c>
      <c r="F121" s="395" t="s">
        <v>671</v>
      </c>
      <c r="G121" s="211" t="str">
        <f>IFERROR(VLOOKUP(F121,[2]Реестр!A:K,2,0),"")</f>
        <v/>
      </c>
      <c r="H121" s="206">
        <v>200</v>
      </c>
      <c r="I121" s="451"/>
      <c r="K121" s="208"/>
    </row>
    <row r="122" spans="1:11" ht="18.75" hidden="1" x14ac:dyDescent="0.3">
      <c r="A122" s="263">
        <v>0.14000000000000001</v>
      </c>
      <c r="B122" s="263">
        <v>0.1</v>
      </c>
      <c r="C122" s="263">
        <v>1.5</v>
      </c>
      <c r="D122" s="263">
        <v>83.962620000000015</v>
      </c>
      <c r="E122" s="349" t="str">
        <f>"11/1"</f>
        <v>11/1</v>
      </c>
      <c r="F122" s="349" t="s">
        <v>317</v>
      </c>
      <c r="G122" s="211">
        <f>IFERROR(VLOOKUP(F122,[2]Реестр!A:K,2,0),"")</f>
        <v>200</v>
      </c>
      <c r="H122" s="206">
        <v>200</v>
      </c>
      <c r="I122" s="451"/>
      <c r="K122" s="208"/>
    </row>
    <row r="123" spans="1:11" ht="18.75" hidden="1" x14ac:dyDescent="0.3">
      <c r="A123" s="209">
        <v>2.64</v>
      </c>
      <c r="B123" s="209">
        <v>0.24</v>
      </c>
      <c r="C123" s="209">
        <v>18.72</v>
      </c>
      <c r="D123" s="209">
        <v>89.6</v>
      </c>
      <c r="E123" s="210" t="s">
        <v>471</v>
      </c>
      <c r="F123" s="217" t="s">
        <v>66</v>
      </c>
      <c r="G123" s="211" t="str">
        <f>IFERROR(VLOOKUP(F123,[2]Реестр!A:K,2,0),"")</f>
        <v>100</v>
      </c>
      <c r="H123" s="206">
        <v>40</v>
      </c>
      <c r="I123" s="451"/>
      <c r="K123" s="208"/>
    </row>
    <row r="124" spans="1:11" ht="18.75" hidden="1" x14ac:dyDescent="0.3">
      <c r="A124" s="209">
        <v>2.64</v>
      </c>
      <c r="B124" s="209">
        <v>0.48</v>
      </c>
      <c r="C124" s="209">
        <v>13.36</v>
      </c>
      <c r="D124" s="209">
        <v>77.2</v>
      </c>
      <c r="E124" s="210" t="s">
        <v>471</v>
      </c>
      <c r="F124" s="217" t="s">
        <v>65</v>
      </c>
      <c r="G124" s="211" t="str">
        <f>IFERROR(VLOOKUP(F124,[2]Реестр!A:K,2,0),"")</f>
        <v>100</v>
      </c>
      <c r="H124" s="206">
        <v>40</v>
      </c>
      <c r="I124" s="451"/>
      <c r="K124" s="208"/>
    </row>
    <row r="125" spans="1:11" ht="18.75" hidden="1" x14ac:dyDescent="0.25">
      <c r="A125" s="246"/>
      <c r="B125" s="246"/>
      <c r="C125" s="246"/>
      <c r="D125" s="246"/>
      <c r="E125" s="247"/>
      <c r="F125" s="204"/>
      <c r="G125" s="199"/>
      <c r="H125" s="246"/>
      <c r="I125" s="451"/>
      <c r="K125" s="208"/>
    </row>
    <row r="126" spans="1:11" ht="18.75" hidden="1" x14ac:dyDescent="0.3">
      <c r="A126" s="464" t="s">
        <v>16</v>
      </c>
      <c r="B126" s="464"/>
      <c r="C126" s="464"/>
      <c r="D126" s="464"/>
      <c r="E126" s="464"/>
      <c r="F126" s="464"/>
      <c r="G126" s="205"/>
      <c r="H126" s="206"/>
      <c r="I126" s="207">
        <f>SUM(I119)</f>
        <v>224.27</v>
      </c>
      <c r="K126" s="208"/>
    </row>
    <row r="127" spans="1:11" ht="18.75" hidden="1" x14ac:dyDescent="0.25">
      <c r="A127" s="484" t="s">
        <v>592</v>
      </c>
      <c r="B127" s="485"/>
      <c r="C127" s="485"/>
      <c r="D127" s="485"/>
      <c r="E127" s="485"/>
      <c r="F127" s="485"/>
      <c r="G127" s="485"/>
      <c r="H127" s="485"/>
      <c r="I127" s="486"/>
      <c r="K127" s="208"/>
    </row>
    <row r="128" spans="1:11" ht="18.75" hidden="1" x14ac:dyDescent="0.3">
      <c r="A128" s="263">
        <v>5.55</v>
      </c>
      <c r="B128" s="263">
        <v>7.8</v>
      </c>
      <c r="C128" s="263">
        <v>15.95</v>
      </c>
      <c r="D128" s="263">
        <v>199.78905478333331</v>
      </c>
      <c r="E128" s="350" t="str">
        <f>"6/70"</f>
        <v>6/70</v>
      </c>
      <c r="F128" s="350" t="s">
        <v>220</v>
      </c>
      <c r="G128" s="211" t="str">
        <f>IFERROR(VLOOKUP(F128,[2]Реестр!A:K,2,0),"")</f>
        <v>300</v>
      </c>
      <c r="H128" s="206">
        <v>250</v>
      </c>
      <c r="I128" s="207">
        <v>50</v>
      </c>
      <c r="K128" s="208"/>
    </row>
    <row r="129" spans="1:11" ht="18.75" hidden="1" x14ac:dyDescent="0.3">
      <c r="A129" s="263">
        <v>16.579999999999998</v>
      </c>
      <c r="B129" s="263">
        <v>19.5</v>
      </c>
      <c r="C129" s="263">
        <v>68.38</v>
      </c>
      <c r="D129" s="263">
        <v>327.07</v>
      </c>
      <c r="E129" s="349" t="str">
        <f>"8/35"</f>
        <v>8/35</v>
      </c>
      <c r="F129" s="349" t="s">
        <v>549</v>
      </c>
      <c r="G129" s="211" t="str">
        <f>IFERROR(VLOOKUP(F129,[2]Реестр!A:K,2,0),"")</f>
        <v/>
      </c>
      <c r="H129" s="206">
        <v>210</v>
      </c>
      <c r="I129" s="206">
        <v>118.3</v>
      </c>
      <c r="K129" s="208"/>
    </row>
    <row r="130" spans="1:11" ht="18.75" hidden="1" x14ac:dyDescent="0.3">
      <c r="A130" s="263">
        <v>0.14000000000000001</v>
      </c>
      <c r="B130" s="263">
        <v>0.1</v>
      </c>
      <c r="C130" s="263">
        <v>1.5</v>
      </c>
      <c r="D130" s="263">
        <v>83.962620000000015</v>
      </c>
      <c r="E130" s="349" t="str">
        <f>"11/1"</f>
        <v>11/1</v>
      </c>
      <c r="F130" s="349" t="s">
        <v>317</v>
      </c>
      <c r="G130" s="211">
        <f>IFERROR(VLOOKUP(F130,[2]Реестр!A:K,2,0),"")</f>
        <v>200</v>
      </c>
      <c r="H130" s="206">
        <v>200</v>
      </c>
      <c r="I130" s="207">
        <v>12.8</v>
      </c>
      <c r="K130" s="208"/>
    </row>
    <row r="131" spans="1:11" ht="18.75" hidden="1" x14ac:dyDescent="0.3">
      <c r="A131" s="209">
        <v>2.64</v>
      </c>
      <c r="B131" s="209">
        <v>0.24</v>
      </c>
      <c r="C131" s="209">
        <v>18.72</v>
      </c>
      <c r="D131" s="209">
        <v>89.6</v>
      </c>
      <c r="E131" s="210" t="s">
        <v>471</v>
      </c>
      <c r="F131" s="217" t="s">
        <v>66</v>
      </c>
      <c r="G131" s="211" t="str">
        <f>IFERROR(VLOOKUP(F131,[2]Реестр!A:K,2,0),"")</f>
        <v>100</v>
      </c>
      <c r="H131" s="206">
        <v>25</v>
      </c>
      <c r="I131" s="207">
        <v>2.1</v>
      </c>
      <c r="K131" s="208"/>
    </row>
    <row r="132" spans="1:11" ht="18.75" hidden="1" x14ac:dyDescent="0.3">
      <c r="A132" s="209">
        <v>2.97</v>
      </c>
      <c r="B132" s="209">
        <v>0.54</v>
      </c>
      <c r="C132" s="209">
        <v>15.03</v>
      </c>
      <c r="D132" s="209">
        <v>86.85</v>
      </c>
      <c r="E132" s="210" t="s">
        <v>471</v>
      </c>
      <c r="F132" s="217" t="s">
        <v>65</v>
      </c>
      <c r="G132" s="211" t="str">
        <f>IFERROR(VLOOKUP(F132,[2]Реестр!A:K,2,0),"")</f>
        <v>100</v>
      </c>
      <c r="H132" s="206">
        <v>20</v>
      </c>
      <c r="I132" s="207">
        <v>1.8</v>
      </c>
      <c r="K132" s="208"/>
    </row>
    <row r="133" spans="1:11" ht="18.75" hidden="1" x14ac:dyDescent="0.3">
      <c r="A133" s="219">
        <v>7.7</v>
      </c>
      <c r="B133" s="219">
        <v>7.42</v>
      </c>
      <c r="C133" s="219">
        <v>32.090000000000003</v>
      </c>
      <c r="D133" s="219">
        <v>225.88</v>
      </c>
      <c r="E133" s="261" t="s">
        <v>408</v>
      </c>
      <c r="F133" s="395" t="s">
        <v>529</v>
      </c>
      <c r="G133" s="211">
        <f>IFERROR(VLOOKUP(F133,[2]Реестр!A:K,2,0),"")</f>
        <v>100</v>
      </c>
      <c r="H133" s="206">
        <v>100</v>
      </c>
      <c r="I133" s="207">
        <v>50</v>
      </c>
      <c r="K133" s="208"/>
    </row>
    <row r="134" spans="1:11" ht="18.75" hidden="1" x14ac:dyDescent="0.3">
      <c r="A134" s="219"/>
      <c r="B134" s="219"/>
      <c r="C134" s="219"/>
      <c r="D134" s="219"/>
      <c r="E134" s="210"/>
      <c r="F134" s="398"/>
      <c r="G134" s="220"/>
      <c r="H134" s="221"/>
      <c r="I134" s="399"/>
      <c r="K134" s="208"/>
    </row>
    <row r="135" spans="1:11" ht="18.75" hidden="1" x14ac:dyDescent="0.3">
      <c r="A135" s="219"/>
      <c r="B135" s="219"/>
      <c r="C135" s="219"/>
      <c r="D135" s="219"/>
      <c r="E135" s="210"/>
      <c r="F135" s="398"/>
      <c r="G135" s="220"/>
      <c r="H135" s="221"/>
      <c r="I135" s="399"/>
      <c r="K135" s="208"/>
    </row>
    <row r="136" spans="1:11" ht="18.75" hidden="1" x14ac:dyDescent="0.3">
      <c r="A136" s="464" t="s">
        <v>16</v>
      </c>
      <c r="B136" s="464"/>
      <c r="C136" s="464"/>
      <c r="D136" s="464"/>
      <c r="E136" s="464"/>
      <c r="F136" s="464"/>
      <c r="G136" s="205"/>
      <c r="H136" s="206"/>
      <c r="I136" s="207">
        <f>SUM(I128:I135)</f>
        <v>235.00000000000003</v>
      </c>
      <c r="J136" s="215">
        <v>188</v>
      </c>
      <c r="K136" s="208"/>
    </row>
    <row r="137" spans="1:11" ht="18.75" x14ac:dyDescent="0.3">
      <c r="A137" s="481" t="s">
        <v>677</v>
      </c>
      <c r="B137" s="482"/>
      <c r="C137" s="482"/>
      <c r="D137" s="482"/>
      <c r="E137" s="482"/>
      <c r="F137" s="482"/>
      <c r="G137" s="482"/>
      <c r="H137" s="482"/>
      <c r="I137" s="483"/>
      <c r="K137" s="208"/>
    </row>
    <row r="138" spans="1:11" ht="30" hidden="1" x14ac:dyDescent="0.25">
      <c r="A138" s="367">
        <v>1.03</v>
      </c>
      <c r="B138" s="396">
        <v>4.7699999999999996</v>
      </c>
      <c r="C138" s="396">
        <v>6.38</v>
      </c>
      <c r="D138" s="396">
        <v>68.989999999999995</v>
      </c>
      <c r="E138" s="357" t="str">
        <f>"7/80"</f>
        <v>7/80</v>
      </c>
      <c r="F138" s="228" t="s">
        <v>678</v>
      </c>
      <c r="G138" s="211" t="str">
        <f>IFERROR(VLOOKUP(F138,[2]Реестр!A:K,2,0),"")</f>
        <v/>
      </c>
      <c r="H138" s="210">
        <v>80</v>
      </c>
      <c r="I138" s="532">
        <v>130.88</v>
      </c>
      <c r="K138" s="208"/>
    </row>
    <row r="139" spans="1:11" ht="18.75" x14ac:dyDescent="0.3">
      <c r="A139" s="263">
        <v>5.55</v>
      </c>
      <c r="B139" s="263">
        <v>7.8</v>
      </c>
      <c r="C139" s="263">
        <v>15.95</v>
      </c>
      <c r="D139" s="263">
        <v>199.78905478333331</v>
      </c>
      <c r="E139" s="242" t="s">
        <v>711</v>
      </c>
      <c r="F139" s="242" t="s">
        <v>716</v>
      </c>
      <c r="G139" s="206">
        <v>200</v>
      </c>
      <c r="H139" s="206">
        <v>200</v>
      </c>
      <c r="I139" s="533"/>
      <c r="K139" s="208"/>
    </row>
    <row r="140" spans="1:11" ht="18.75" x14ac:dyDescent="0.3">
      <c r="A140" s="263">
        <v>16.579999999999998</v>
      </c>
      <c r="B140" s="263">
        <v>19.5</v>
      </c>
      <c r="C140" s="263">
        <v>68.38</v>
      </c>
      <c r="D140" s="263">
        <v>327.07</v>
      </c>
      <c r="E140" s="242" t="s">
        <v>712</v>
      </c>
      <c r="F140" s="242" t="s">
        <v>713</v>
      </c>
      <c r="G140" s="206">
        <v>200</v>
      </c>
      <c r="H140" s="206">
        <v>200</v>
      </c>
      <c r="I140" s="533"/>
      <c r="K140" s="208"/>
    </row>
    <row r="141" spans="1:11" ht="18.75" x14ac:dyDescent="0.3">
      <c r="A141" s="263">
        <v>0.14000000000000001</v>
      </c>
      <c r="B141" s="263">
        <v>0.1</v>
      </c>
      <c r="C141" s="263">
        <v>1.5</v>
      </c>
      <c r="D141" s="263">
        <v>83.962620000000015</v>
      </c>
      <c r="E141" s="242" t="s">
        <v>714</v>
      </c>
      <c r="F141" s="242" t="s">
        <v>328</v>
      </c>
      <c r="G141" s="206">
        <v>200</v>
      </c>
      <c r="H141" s="206">
        <v>200</v>
      </c>
      <c r="I141" s="533"/>
      <c r="K141" s="208"/>
    </row>
    <row r="142" spans="1:11" ht="18.75" x14ac:dyDescent="0.3">
      <c r="A142" s="209">
        <v>2.64</v>
      </c>
      <c r="B142" s="209">
        <v>0.24</v>
      </c>
      <c r="C142" s="209">
        <v>18.72</v>
      </c>
      <c r="D142" s="209">
        <v>89.6</v>
      </c>
      <c r="E142" s="405" t="s">
        <v>471</v>
      </c>
      <c r="F142" s="408" t="s">
        <v>66</v>
      </c>
      <c r="G142" s="206">
        <v>40</v>
      </c>
      <c r="H142" s="206">
        <v>40</v>
      </c>
      <c r="I142" s="533"/>
      <c r="K142" s="208"/>
    </row>
    <row r="143" spans="1:11" ht="18.75" x14ac:dyDescent="0.3">
      <c r="A143" s="209">
        <v>2.64</v>
      </c>
      <c r="B143" s="209">
        <v>0.48</v>
      </c>
      <c r="C143" s="209">
        <v>13.36</v>
      </c>
      <c r="D143" s="209">
        <v>77.2</v>
      </c>
      <c r="E143" s="405" t="s">
        <v>471</v>
      </c>
      <c r="F143" s="408" t="s">
        <v>65</v>
      </c>
      <c r="G143" s="206">
        <v>40</v>
      </c>
      <c r="H143" s="206">
        <v>40</v>
      </c>
      <c r="I143" s="533"/>
      <c r="K143" s="208"/>
    </row>
    <row r="144" spans="1:11" ht="18.75" hidden="1" x14ac:dyDescent="0.3">
      <c r="A144" s="219">
        <v>7.7</v>
      </c>
      <c r="B144" s="219">
        <v>7.42</v>
      </c>
      <c r="C144" s="219">
        <v>32.090000000000003</v>
      </c>
      <c r="D144" s="219">
        <v>225.88</v>
      </c>
      <c r="E144" s="261" t="s">
        <v>408</v>
      </c>
      <c r="F144" s="398" t="s">
        <v>605</v>
      </c>
      <c r="G144" s="221">
        <v>80</v>
      </c>
      <c r="H144" s="221">
        <v>80</v>
      </c>
      <c r="I144" s="533"/>
      <c r="K144" s="208"/>
    </row>
    <row r="145" spans="1:11" ht="18.75" hidden="1" x14ac:dyDescent="0.3">
      <c r="A145" s="262">
        <v>0.2</v>
      </c>
      <c r="B145" s="262">
        <v>0</v>
      </c>
      <c r="C145" s="262">
        <v>13.7</v>
      </c>
      <c r="D145" s="262">
        <v>53</v>
      </c>
      <c r="E145" s="425" t="s">
        <v>506</v>
      </c>
      <c r="F145" s="395" t="s">
        <v>499</v>
      </c>
      <c r="G145" s="211"/>
      <c r="H145" s="206">
        <v>200</v>
      </c>
      <c r="I145" s="534"/>
      <c r="K145" s="208"/>
    </row>
    <row r="146" spans="1:11" ht="18.75" x14ac:dyDescent="0.3">
      <c r="A146" s="453" t="s">
        <v>16</v>
      </c>
      <c r="B146" s="454"/>
      <c r="C146" s="454"/>
      <c r="D146" s="454"/>
      <c r="E146" s="454"/>
      <c r="F146" s="455"/>
      <c r="G146" s="205"/>
      <c r="H146" s="206"/>
      <c r="I146" s="207">
        <v>130.88</v>
      </c>
      <c r="K146" s="208"/>
    </row>
    <row r="147" spans="1:11" ht="18.75" x14ac:dyDescent="0.3">
      <c r="A147" s="462" t="s">
        <v>697</v>
      </c>
      <c r="B147" s="462"/>
      <c r="C147" s="462"/>
      <c r="D147" s="462"/>
      <c r="E147" s="462"/>
      <c r="F147" s="462"/>
      <c r="G147" s="462"/>
      <c r="H147" s="462"/>
      <c r="I147" s="462"/>
      <c r="K147" s="208"/>
    </row>
    <row r="148" spans="1:11" ht="18.75" x14ac:dyDescent="0.3">
      <c r="A148" s="263">
        <v>5.55</v>
      </c>
      <c r="B148" s="263">
        <v>7.8</v>
      </c>
      <c r="C148" s="263">
        <v>15.95</v>
      </c>
      <c r="D148" s="263">
        <v>199.78905478333331</v>
      </c>
      <c r="E148" s="242" t="s">
        <v>711</v>
      </c>
      <c r="F148" s="242" t="s">
        <v>716</v>
      </c>
      <c r="G148" s="211" t="str">
        <f>IFERROR(VLOOKUP(F148,[2]Реестр!A:K,2,0),"")</f>
        <v/>
      </c>
      <c r="H148" s="206">
        <v>250</v>
      </c>
      <c r="I148" s="450">
        <v>184</v>
      </c>
      <c r="K148" s="208"/>
    </row>
    <row r="149" spans="1:11" ht="18.75" x14ac:dyDescent="0.3">
      <c r="A149" s="263">
        <v>16.579999999999998</v>
      </c>
      <c r="B149" s="263">
        <v>19.5</v>
      </c>
      <c r="C149" s="263">
        <v>68.38</v>
      </c>
      <c r="D149" s="263">
        <v>327.07</v>
      </c>
      <c r="E149" s="242" t="s">
        <v>712</v>
      </c>
      <c r="F149" s="242" t="s">
        <v>713</v>
      </c>
      <c r="G149" s="211" t="str">
        <f>IFERROR(VLOOKUP(F149,[2]Реестр!A:K,2,0),"")</f>
        <v/>
      </c>
      <c r="H149" s="206">
        <v>200</v>
      </c>
      <c r="I149" s="451"/>
      <c r="K149" s="208"/>
    </row>
    <row r="150" spans="1:11" ht="18.75" x14ac:dyDescent="0.3">
      <c r="A150" s="263">
        <v>0.14000000000000001</v>
      </c>
      <c r="B150" s="263">
        <v>0.1</v>
      </c>
      <c r="C150" s="263">
        <v>1.5</v>
      </c>
      <c r="D150" s="263">
        <v>83.962620000000015</v>
      </c>
      <c r="E150" s="242" t="s">
        <v>714</v>
      </c>
      <c r="F150" s="242" t="s">
        <v>328</v>
      </c>
      <c r="G150" s="211">
        <f>IFERROR(VLOOKUP(F150,[2]Реестр!A:K,2,0),"")</f>
        <v>200</v>
      </c>
      <c r="H150" s="206">
        <v>200</v>
      </c>
      <c r="I150" s="451"/>
      <c r="K150" s="208"/>
    </row>
    <row r="151" spans="1:11" ht="18.75" x14ac:dyDescent="0.3">
      <c r="A151" s="209">
        <v>2.64</v>
      </c>
      <c r="B151" s="209">
        <v>0.24</v>
      </c>
      <c r="C151" s="209">
        <v>18.72</v>
      </c>
      <c r="D151" s="209">
        <v>89.6</v>
      </c>
      <c r="E151" s="420" t="s">
        <v>471</v>
      </c>
      <c r="F151" s="424" t="s">
        <v>66</v>
      </c>
      <c r="G151" s="211" t="str">
        <f>IFERROR(VLOOKUP(F151,[2]Реестр!A:K,2,0),"")</f>
        <v>100</v>
      </c>
      <c r="H151" s="206">
        <v>20</v>
      </c>
      <c r="I151" s="451"/>
      <c r="K151" s="208"/>
    </row>
    <row r="152" spans="1:11" ht="18.75" x14ac:dyDescent="0.3">
      <c r="A152" s="209">
        <v>2.64</v>
      </c>
      <c r="B152" s="209">
        <v>0.48</v>
      </c>
      <c r="C152" s="209">
        <v>13.36</v>
      </c>
      <c r="D152" s="209">
        <v>77.2</v>
      </c>
      <c r="E152" s="420" t="s">
        <v>471</v>
      </c>
      <c r="F152" s="424" t="s">
        <v>65</v>
      </c>
      <c r="G152" s="211" t="str">
        <f>IFERROR(VLOOKUP(F152,[2]Реестр!A:K,2,0),"")</f>
        <v>100</v>
      </c>
      <c r="H152" s="206">
        <v>20</v>
      </c>
      <c r="I152" s="452"/>
      <c r="K152" s="208"/>
    </row>
    <row r="153" spans="1:11" ht="18.75" x14ac:dyDescent="0.3">
      <c r="A153" s="196"/>
      <c r="B153" s="196"/>
      <c r="C153" s="196"/>
      <c r="D153" s="196"/>
      <c r="E153" s="214"/>
      <c r="F153" s="204"/>
      <c r="G153" s="199"/>
      <c r="H153" s="200"/>
      <c r="I153" s="203"/>
      <c r="K153" s="208"/>
    </row>
    <row r="154" spans="1:11" ht="18.75" x14ac:dyDescent="0.3">
      <c r="A154" s="464" t="s">
        <v>16</v>
      </c>
      <c r="B154" s="464"/>
      <c r="C154" s="464"/>
      <c r="D154" s="464"/>
      <c r="E154" s="464"/>
      <c r="F154" s="464"/>
      <c r="G154" s="205"/>
      <c r="H154" s="206"/>
      <c r="I154" s="207">
        <f>SUM(I148:I153)</f>
        <v>184</v>
      </c>
      <c r="K154" s="208"/>
    </row>
    <row r="155" spans="1:11" ht="18.75" x14ac:dyDescent="0.3">
      <c r="A155" s="462" t="s">
        <v>590</v>
      </c>
      <c r="B155" s="462"/>
      <c r="C155" s="462"/>
      <c r="D155" s="462"/>
      <c r="E155" s="462"/>
      <c r="F155" s="462"/>
      <c r="G155" s="462"/>
      <c r="H155" s="462"/>
      <c r="I155" s="462"/>
      <c r="K155" s="208"/>
    </row>
    <row r="156" spans="1:11" ht="18.75" x14ac:dyDescent="0.3">
      <c r="A156" s="219">
        <v>7.7</v>
      </c>
      <c r="B156" s="219">
        <v>7.42</v>
      </c>
      <c r="C156" s="219">
        <v>32.090000000000003</v>
      </c>
      <c r="D156" s="219">
        <v>225.88</v>
      </c>
      <c r="E156" s="416" t="s">
        <v>408</v>
      </c>
      <c r="F156" s="406" t="s">
        <v>529</v>
      </c>
      <c r="G156" s="221">
        <v>80</v>
      </c>
      <c r="H156" s="221">
        <v>80</v>
      </c>
      <c r="I156" s="450">
        <v>72</v>
      </c>
      <c r="K156" s="208"/>
    </row>
    <row r="157" spans="1:11" ht="18.75" x14ac:dyDescent="0.3">
      <c r="A157" s="426">
        <v>0.14000000000000001</v>
      </c>
      <c r="B157" s="426">
        <v>0.1</v>
      </c>
      <c r="C157" s="426">
        <v>1.5</v>
      </c>
      <c r="D157" s="426">
        <v>83.962620000000015</v>
      </c>
      <c r="E157" s="407" t="str">
        <f>"11/1"</f>
        <v>11/1</v>
      </c>
      <c r="F157" s="427" t="s">
        <v>700</v>
      </c>
      <c r="G157" s="211" t="str">
        <f>IFERROR(VLOOKUP(F157,[2]Реестр!A:K,2,0),"")</f>
        <v/>
      </c>
      <c r="H157" s="206">
        <v>200</v>
      </c>
      <c r="I157" s="452"/>
      <c r="K157" s="208"/>
    </row>
    <row r="158" spans="1:11" ht="18.75" x14ac:dyDescent="0.3">
      <c r="A158" s="464" t="s">
        <v>16</v>
      </c>
      <c r="B158" s="464"/>
      <c r="C158" s="464"/>
      <c r="D158" s="464"/>
      <c r="E158" s="464"/>
      <c r="F158" s="464"/>
      <c r="G158" s="205"/>
      <c r="H158" s="206"/>
      <c r="I158" s="207">
        <f>SUM(I156:I157)</f>
        <v>72</v>
      </c>
      <c r="K158" s="208"/>
    </row>
    <row r="160" spans="1:11" s="215" customFormat="1" ht="18.75" x14ac:dyDescent="0.3">
      <c r="B160" s="252"/>
      <c r="C160" s="253"/>
      <c r="D160" s="253"/>
      <c r="E160" s="253"/>
      <c r="F160" s="254" t="s">
        <v>37</v>
      </c>
      <c r="G160" s="270"/>
      <c r="H160" s="257"/>
      <c r="I160" s="260"/>
      <c r="K160" s="202"/>
    </row>
    <row r="161" spans="2:11" s="215" customFormat="1" ht="18.75" x14ac:dyDescent="0.3">
      <c r="B161" s="252"/>
      <c r="C161" s="253"/>
      <c r="D161" s="253"/>
      <c r="E161" s="253"/>
      <c r="F161" s="254"/>
      <c r="G161" s="270"/>
      <c r="H161" s="418"/>
      <c r="I161" s="260"/>
      <c r="K161" s="202"/>
    </row>
    <row r="162" spans="2:11" x14ac:dyDescent="0.25">
      <c r="H162" s="414" t="s">
        <v>699</v>
      </c>
    </row>
  </sheetData>
  <autoFilter ref="A4:I93" xr:uid="{00000000-0009-0000-0000-000005000000}"/>
  <mergeCells count="61"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  <mergeCell ref="J4:J5"/>
    <mergeCell ref="A6:I6"/>
    <mergeCell ref="A12:F12"/>
    <mergeCell ref="A13:I13"/>
    <mergeCell ref="G4:G5"/>
    <mergeCell ref="H4:H5"/>
    <mergeCell ref="A70:F70"/>
    <mergeCell ref="A22:I22"/>
    <mergeCell ref="A29:F29"/>
    <mergeCell ref="A30:I30"/>
    <mergeCell ref="A38:F38"/>
    <mergeCell ref="A39:I39"/>
    <mergeCell ref="A40:I40"/>
    <mergeCell ref="A46:I46"/>
    <mergeCell ref="A54:F54"/>
    <mergeCell ref="A55:I55"/>
    <mergeCell ref="A56:I56"/>
    <mergeCell ref="A62:I62"/>
    <mergeCell ref="A101:I101"/>
    <mergeCell ref="A71:I71"/>
    <mergeCell ref="A78:F78"/>
    <mergeCell ref="A79:I79"/>
    <mergeCell ref="A81:F81"/>
    <mergeCell ref="A82:I82"/>
    <mergeCell ref="A84:F84"/>
    <mergeCell ref="A85:I85"/>
    <mergeCell ref="A93:F93"/>
    <mergeCell ref="A94:I94"/>
    <mergeCell ref="I95:I99"/>
    <mergeCell ref="A100:F100"/>
    <mergeCell ref="I102:I107"/>
    <mergeCell ref="A108:F108"/>
    <mergeCell ref="A109:I109"/>
    <mergeCell ref="I110:I116"/>
    <mergeCell ref="A117:F117"/>
    <mergeCell ref="A118:I118"/>
    <mergeCell ref="I119:I125"/>
    <mergeCell ref="A126:F126"/>
    <mergeCell ref="A127:I127"/>
    <mergeCell ref="A136:F136"/>
    <mergeCell ref="A155:I155"/>
    <mergeCell ref="A158:F158"/>
    <mergeCell ref="I156:I157"/>
    <mergeCell ref="A137:I137"/>
    <mergeCell ref="I138:I145"/>
    <mergeCell ref="A146:F146"/>
    <mergeCell ref="A147:I147"/>
    <mergeCell ref="A154:F154"/>
    <mergeCell ref="I148:I152"/>
  </mergeCells>
  <printOptions horizontalCentered="1" verticalCentered="1"/>
  <pageMargins left="0.39370078740157483" right="0" top="0" bottom="0" header="0.51181102362204722" footer="0.51181102362204722"/>
  <pageSetup paperSize="9" scale="67" firstPageNumber="0" fitToHeight="2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55E7B95A-24B4-4462-B468-01DD24636CCF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F114</xm:sqref>
        </x14:dataValidation>
        <x14:dataValidation type="list" allowBlank="1" showInputMessage="1" showErrorMessage="1" xr:uid="{E422AA46-7EAC-4A3C-93F4-F8BFAD636E40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F88 F83 F15 F110 F119:F121 F128:F129 F32 F64 F48 F86 F112 F138:F139 F148</xm:sqref>
        </x14:dataValidation>
        <x14:dataValidation type="list" allowBlank="1" showInputMessage="1" showErrorMessage="1" xr:uid="{54A7830C-9AAB-46CF-8E6E-DFD9B0825339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F20 F115 F53 F37 F92 F69 F125 F153</xm:sqref>
        </x14:dataValidation>
        <x14:dataValidation type="list" allowBlank="1" showInputMessage="1" showErrorMessage="1" xr:uid="{9200CD1C-C3E3-46FC-B25D-6A69C9D30F64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F116 F7 F18 F157 F142 F75 F67 F102:F104 F122:F123 F51 F41 F35 F89:F90 F95:F97 F107 F113 F111 F26 F57 F87 F130:F131 F151</xm:sqref>
        </x14:dataValidation>
        <x14:dataValidation type="list" allowBlank="1" showInputMessage="1" showErrorMessage="1" xr:uid="{6FC4FED9-4B9C-434C-965C-5373019A3626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F80 F133:F135 F144 F156</xm:sqref>
        </x14:dataValidation>
        <x14:dataValidation type="list" allowBlank="1" showInputMessage="1" showErrorMessage="1" xr:uid="{92296A6E-3AA3-4365-810E-B1B0B23B0AF2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F44 F124 F91 F98:F99 F68 F152 F10 F19 F27:F28 F143 F60 F36 F105:F106 F52 F132 F145 F76:F77</xm:sqref>
        </x14:dataValidation>
        <x14:dataValidation type="list" allowBlank="1" showInputMessage="1" showErrorMessage="1" xr:uid="{B134CA5E-ACA2-4765-872F-49F84D824944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F44 F124 F91 F60 F68 F10 F19 F27:F28 F152 F143 F36 F98:F99 F105:F106 F52 F132 F145 F76:F77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34D4-90BF-44AC-ACFE-F22E18310F54}">
  <sheetPr codeName="Лист42">
    <pageSetUpPr fitToPage="1"/>
  </sheetPr>
  <dimension ref="A1:L147"/>
  <sheetViews>
    <sheetView view="pageBreakPreview" zoomScaleNormal="100" zoomScaleSheetLayoutView="100" workbookViewId="0">
      <selection activeCell="C242" sqref="C242:F242"/>
    </sheetView>
  </sheetViews>
  <sheetFormatPr defaultRowHeight="15.75" x14ac:dyDescent="0.25"/>
  <cols>
    <col min="1" max="1" width="11.28515625" style="215" customWidth="1"/>
    <col min="2" max="2" width="11.28515625" style="252" customWidth="1"/>
    <col min="3" max="3" width="10.5703125" style="253" customWidth="1"/>
    <col min="4" max="4" width="10.28515625" style="253" customWidth="1"/>
    <col min="5" max="5" width="14" style="253" customWidth="1"/>
    <col min="6" max="6" width="57.85546875" style="253" customWidth="1"/>
    <col min="7" max="7" width="17.85546875" style="253" hidden="1" customWidth="1"/>
    <col min="8" max="9" width="15.5703125" style="253" customWidth="1"/>
    <col min="10" max="10" width="25.5703125" style="215" customWidth="1"/>
    <col min="11" max="1025" width="8.7109375" style="202" customWidth="1"/>
    <col min="1026" max="16384" width="9.140625" style="202"/>
  </cols>
  <sheetData>
    <row r="1" spans="1:12" s="234" customFormat="1" ht="29.25" customHeight="1" x14ac:dyDescent="0.25">
      <c r="A1" s="468" t="s">
        <v>0</v>
      </c>
      <c r="B1" s="468"/>
      <c r="C1" s="235"/>
      <c r="D1" s="235"/>
      <c r="E1" s="235"/>
      <c r="F1" s="231" t="s">
        <v>1</v>
      </c>
      <c r="G1" s="231"/>
      <c r="H1" s="439" t="s">
        <v>0</v>
      </c>
      <c r="I1" s="439"/>
    </row>
    <row r="2" spans="1:12" s="234" customFormat="1" ht="29.25" customHeight="1" x14ac:dyDescent="0.25">
      <c r="A2" s="235" t="s">
        <v>2</v>
      </c>
      <c r="B2" s="235"/>
      <c r="C2" s="259"/>
      <c r="D2" s="259"/>
      <c r="E2" s="259"/>
      <c r="F2" s="231" t="s">
        <v>702</v>
      </c>
      <c r="G2" s="231"/>
      <c r="H2" s="535" t="s">
        <v>703</v>
      </c>
      <c r="I2" s="535"/>
      <c r="J2" s="235"/>
    </row>
    <row r="3" spans="1:12" s="234" customFormat="1" ht="29.25" customHeight="1" x14ac:dyDescent="0.25">
      <c r="A3" s="437" t="s">
        <v>522</v>
      </c>
      <c r="B3" s="437"/>
      <c r="C3" s="437"/>
      <c r="D3" s="438"/>
      <c r="E3" s="438"/>
      <c r="F3" s="231" t="s">
        <v>748</v>
      </c>
      <c r="G3" s="231"/>
      <c r="H3" s="470" t="s">
        <v>698</v>
      </c>
      <c r="I3" s="470"/>
    </row>
    <row r="4" spans="1:12" ht="15" customHeight="1" x14ac:dyDescent="0.25">
      <c r="A4" s="472" t="s">
        <v>4</v>
      </c>
      <c r="B4" s="472"/>
      <c r="C4" s="472"/>
      <c r="D4" s="471" t="s">
        <v>5</v>
      </c>
      <c r="E4" s="471" t="s">
        <v>6</v>
      </c>
      <c r="F4" s="471" t="s">
        <v>7</v>
      </c>
      <c r="G4" s="473" t="s">
        <v>8</v>
      </c>
      <c r="H4" s="471" t="s">
        <v>9</v>
      </c>
      <c r="I4" s="471" t="s">
        <v>10</v>
      </c>
      <c r="J4" s="471" t="s">
        <v>11</v>
      </c>
    </row>
    <row r="5" spans="1:12" x14ac:dyDescent="0.25">
      <c r="A5" s="232" t="s">
        <v>12</v>
      </c>
      <c r="B5" s="232" t="s">
        <v>13</v>
      </c>
      <c r="C5" s="232" t="s">
        <v>14</v>
      </c>
      <c r="D5" s="471"/>
      <c r="E5" s="471"/>
      <c r="F5" s="471"/>
      <c r="G5" s="473"/>
      <c r="H5" s="471"/>
      <c r="I5" s="471"/>
      <c r="J5" s="471"/>
    </row>
    <row r="6" spans="1:12" ht="18" customHeight="1" x14ac:dyDescent="0.3">
      <c r="A6" s="462" t="s">
        <v>15</v>
      </c>
      <c r="B6" s="462"/>
      <c r="C6" s="462"/>
      <c r="D6" s="462"/>
      <c r="E6" s="462"/>
      <c r="F6" s="462"/>
      <c r="G6" s="462"/>
      <c r="H6" s="462"/>
      <c r="I6" s="462"/>
      <c r="J6" s="212"/>
    </row>
    <row r="7" spans="1:12" ht="18" customHeight="1" x14ac:dyDescent="0.3">
      <c r="A7" s="243">
        <v>4.2300000000000004</v>
      </c>
      <c r="B7" s="243">
        <v>4.96</v>
      </c>
      <c r="C7" s="243">
        <v>38.700000000000003</v>
      </c>
      <c r="D7" s="243">
        <v>228.9</v>
      </c>
      <c r="E7" s="242" t="str">
        <f>"1/50"</f>
        <v>1/50</v>
      </c>
      <c r="F7" s="242" t="s">
        <v>706</v>
      </c>
      <c r="G7" s="211" t="str">
        <f>IFERROR(VLOOKUP(F7,[1]Реестр!A:K,2,0),"")</f>
        <v/>
      </c>
      <c r="H7" s="210">
        <v>30</v>
      </c>
      <c r="I7" s="207">
        <v>38.369999999999997</v>
      </c>
      <c r="J7" s="201" t="str">
        <f>IFERROR(VLOOKUP(O7,Реестр!#REF!,3,0)*Q7/P7,"")</f>
        <v/>
      </c>
    </row>
    <row r="8" spans="1:12" ht="18" customHeight="1" x14ac:dyDescent="0.3">
      <c r="A8" s="243">
        <v>13.79</v>
      </c>
      <c r="B8" s="243">
        <v>14.6</v>
      </c>
      <c r="C8" s="243">
        <v>23.4</v>
      </c>
      <c r="D8" s="243">
        <v>266.7</v>
      </c>
      <c r="E8" s="242" t="str">
        <f>"4/56"</f>
        <v>4/56</v>
      </c>
      <c r="F8" s="242" t="s">
        <v>705</v>
      </c>
      <c r="G8" s="211"/>
      <c r="H8" s="210">
        <v>150</v>
      </c>
      <c r="I8" s="207">
        <v>75.42</v>
      </c>
      <c r="J8" s="201" t="str">
        <f>IFERROR(VLOOKUP(O8,Реестр!#REF!,3,0)*Q8/P8,"")</f>
        <v/>
      </c>
    </row>
    <row r="9" spans="1:12" ht="18" customHeight="1" x14ac:dyDescent="0.3">
      <c r="A9" s="243">
        <v>0.18</v>
      </c>
      <c r="B9" s="243">
        <v>0.04</v>
      </c>
      <c r="C9" s="243">
        <v>13.75</v>
      </c>
      <c r="D9" s="243">
        <v>53.136642799999997</v>
      </c>
      <c r="E9" s="242" t="str">
        <f>"11/56"</f>
        <v>11/56</v>
      </c>
      <c r="F9" s="242" t="s">
        <v>499</v>
      </c>
      <c r="G9" s="211"/>
      <c r="H9" s="210">
        <v>200</v>
      </c>
      <c r="I9" s="207">
        <v>8.15</v>
      </c>
      <c r="J9" s="201" t="str">
        <f>IFERROR(VLOOKUP(O9,Реестр!#REF!,3,0)*Q9/P9,"")</f>
        <v/>
      </c>
    </row>
    <row r="10" spans="1:12" ht="18" customHeight="1" x14ac:dyDescent="0.3">
      <c r="A10" s="264">
        <v>1.3</v>
      </c>
      <c r="B10" s="264">
        <v>0.2</v>
      </c>
      <c r="C10" s="264">
        <v>6.7</v>
      </c>
      <c r="D10" s="264">
        <v>39</v>
      </c>
      <c r="E10" s="381" t="str">
        <f>"-"</f>
        <v>-</v>
      </c>
      <c r="F10" s="381" t="s">
        <v>707</v>
      </c>
      <c r="G10" s="211"/>
      <c r="H10" s="206">
        <v>20</v>
      </c>
      <c r="I10" s="207">
        <v>1.8</v>
      </c>
      <c r="J10" s="201" t="str">
        <f>IFERROR(VLOOKUP(O10,Реестр!#REF!,3,0)*Q10/P10,"")</f>
        <v/>
      </c>
    </row>
    <row r="11" spans="1:12" ht="18.75" x14ac:dyDescent="0.3">
      <c r="A11" s="264">
        <v>0.52</v>
      </c>
      <c r="B11" s="264">
        <v>0.52</v>
      </c>
      <c r="C11" s="264">
        <v>15.08</v>
      </c>
      <c r="D11" s="264">
        <v>63.283999999999985</v>
      </c>
      <c r="E11" s="381" t="str">
        <f>"-"</f>
        <v>-</v>
      </c>
      <c r="F11" s="381" t="s">
        <v>708</v>
      </c>
      <c r="G11" s="211"/>
      <c r="H11" s="206">
        <v>130</v>
      </c>
      <c r="I11" s="207">
        <v>25.78</v>
      </c>
      <c r="J11" s="206"/>
      <c r="K11" s="208"/>
    </row>
    <row r="12" spans="1:12" ht="18" customHeight="1" x14ac:dyDescent="0.3">
      <c r="A12" s="464" t="s">
        <v>16</v>
      </c>
      <c r="B12" s="464"/>
      <c r="C12" s="464"/>
      <c r="D12" s="464"/>
      <c r="E12" s="464"/>
      <c r="F12" s="464"/>
      <c r="G12" s="205"/>
      <c r="H12" s="206"/>
      <c r="I12" s="207">
        <f>SUM(I7:I11)</f>
        <v>149.51999999999998</v>
      </c>
      <c r="J12" s="206">
        <v>85.2</v>
      </c>
      <c r="K12" s="208">
        <f>I12-J12</f>
        <v>64.319999999999979</v>
      </c>
      <c r="L12" s="208"/>
    </row>
    <row r="13" spans="1:12" ht="18" customHeight="1" x14ac:dyDescent="0.3">
      <c r="A13" s="462" t="s">
        <v>17</v>
      </c>
      <c r="B13" s="462"/>
      <c r="C13" s="462"/>
      <c r="D13" s="462"/>
      <c r="E13" s="462"/>
      <c r="F13" s="462"/>
      <c r="G13" s="462"/>
      <c r="H13" s="462"/>
      <c r="I13" s="462"/>
      <c r="J13" s="212"/>
    </row>
    <row r="14" spans="1:12" ht="30" x14ac:dyDescent="0.3">
      <c r="A14" s="383">
        <v>1.33</v>
      </c>
      <c r="B14" s="383">
        <v>5.12</v>
      </c>
      <c r="C14" s="383">
        <v>4.0999999999999996</v>
      </c>
      <c r="D14" s="383">
        <v>73.52</v>
      </c>
      <c r="E14" s="382" t="s">
        <v>709</v>
      </c>
      <c r="F14" s="242" t="s">
        <v>710</v>
      </c>
      <c r="G14" s="211" t="str">
        <f>IFERROR(VLOOKUP(F14,[2]Реестр!A:K,2,0),"")</f>
        <v/>
      </c>
      <c r="H14" s="210">
        <v>80</v>
      </c>
      <c r="I14" s="230">
        <v>44.94</v>
      </c>
      <c r="J14" s="201" t="str">
        <f>IFERROR(VLOOKUP(O14,Реестр!#REF!,3,0)*Q14/P14,"")</f>
        <v/>
      </c>
    </row>
    <row r="15" spans="1:12" ht="18" customHeight="1" x14ac:dyDescent="0.3">
      <c r="A15" s="263">
        <v>4.1100000000000003</v>
      </c>
      <c r="B15" s="263">
        <v>4.7699999999999996</v>
      </c>
      <c r="C15" s="263">
        <v>19.5</v>
      </c>
      <c r="D15" s="263">
        <v>143.13</v>
      </c>
      <c r="E15" s="242" t="s">
        <v>711</v>
      </c>
      <c r="F15" s="242" t="s">
        <v>716</v>
      </c>
      <c r="G15" s="211" t="str">
        <f>IFERROR(VLOOKUP(F15,[2]Реестр!A:K,2,0),"")</f>
        <v/>
      </c>
      <c r="H15" s="206">
        <v>250</v>
      </c>
      <c r="I15" s="207">
        <v>50</v>
      </c>
      <c r="J15" s="201" t="str">
        <f>IFERROR(VLOOKUP(O15,Реестр!#REF!,3,0)*Q15/P15,"")</f>
        <v/>
      </c>
    </row>
    <row r="16" spans="1:12" ht="18" customHeight="1" x14ac:dyDescent="0.3">
      <c r="A16" s="263">
        <v>15.55</v>
      </c>
      <c r="B16" s="263">
        <v>15.4</v>
      </c>
      <c r="C16" s="263">
        <v>57.1</v>
      </c>
      <c r="D16" s="263">
        <v>364.2</v>
      </c>
      <c r="E16" s="242" t="s">
        <v>712</v>
      </c>
      <c r="F16" s="242" t="s">
        <v>713</v>
      </c>
      <c r="G16" s="211" t="str">
        <f>IFERROR(VLOOKUP(F16,[2]Реестр!A:K,2,0),"")</f>
        <v/>
      </c>
      <c r="H16" s="206">
        <v>200</v>
      </c>
      <c r="I16" s="206">
        <v>102.59</v>
      </c>
      <c r="J16" s="201" t="str">
        <f>IFERROR(VLOOKUP(O16,Реестр!#REF!,3,0)*Q16/P16,"")</f>
        <v/>
      </c>
    </row>
    <row r="17" spans="1:12" ht="18" customHeight="1" x14ac:dyDescent="0.3">
      <c r="A17" s="263">
        <v>0.18</v>
      </c>
      <c r="B17" s="263">
        <v>0.05</v>
      </c>
      <c r="C17" s="263">
        <v>0.32</v>
      </c>
      <c r="D17" s="263">
        <v>37.582527999999996</v>
      </c>
      <c r="E17" s="242" t="s">
        <v>714</v>
      </c>
      <c r="F17" s="242" t="s">
        <v>328</v>
      </c>
      <c r="G17" s="211">
        <f>IFERROR(VLOOKUP(F17,[2]Реестр!A:K,2,0),"")</f>
        <v>200</v>
      </c>
      <c r="H17" s="206">
        <v>200</v>
      </c>
      <c r="I17" s="207">
        <v>19.54</v>
      </c>
      <c r="J17" s="201"/>
    </row>
    <row r="18" spans="1:12" ht="18" customHeight="1" x14ac:dyDescent="0.3">
      <c r="A18" s="264">
        <v>3.3</v>
      </c>
      <c r="B18" s="264">
        <v>0.3</v>
      </c>
      <c r="C18" s="264">
        <v>23.4</v>
      </c>
      <c r="D18" s="264">
        <v>112</v>
      </c>
      <c r="E18" s="242" t="s">
        <v>471</v>
      </c>
      <c r="F18" s="242" t="s">
        <v>715</v>
      </c>
      <c r="G18" s="211" t="str">
        <f>IFERROR(VLOOKUP(F18,[2]Реестр!A:K,2,0),"")</f>
        <v/>
      </c>
      <c r="H18" s="206">
        <v>50</v>
      </c>
      <c r="I18" s="207">
        <v>4.5</v>
      </c>
      <c r="J18" s="201" t="str">
        <f>IFERROR(VLOOKUP(O18,Реестр!#REF!,3,0)*Q18/P18,"")</f>
        <v/>
      </c>
    </row>
    <row r="19" spans="1:12" ht="18" customHeight="1" x14ac:dyDescent="0.3">
      <c r="A19" s="241">
        <v>2</v>
      </c>
      <c r="B19" s="241">
        <v>0.4</v>
      </c>
      <c r="C19" s="241">
        <v>10</v>
      </c>
      <c r="D19" s="241">
        <v>58</v>
      </c>
      <c r="E19" s="381" t="s">
        <v>471</v>
      </c>
      <c r="F19" s="381" t="s">
        <v>707</v>
      </c>
      <c r="G19" s="211" t="str">
        <f>IFERROR(VLOOKUP(F19,[2]Реестр!A:K,2,0),"")</f>
        <v/>
      </c>
      <c r="H19" s="206">
        <v>30</v>
      </c>
      <c r="I19" s="203">
        <v>2.7</v>
      </c>
      <c r="J19" s="201" t="str">
        <f>IFERROR(VLOOKUP(O19,Реестр!#REF!,3,0)*Q19/P19,"")</f>
        <v/>
      </c>
    </row>
    <row r="20" spans="1:12" ht="18" customHeight="1" x14ac:dyDescent="0.3">
      <c r="A20" s="196"/>
      <c r="B20" s="196"/>
      <c r="C20" s="196"/>
      <c r="D20" s="196"/>
      <c r="E20" s="214"/>
      <c r="F20" s="204"/>
      <c r="G20" s="199"/>
      <c r="H20" s="200"/>
      <c r="I20" s="203"/>
      <c r="J20" s="201"/>
    </row>
    <row r="21" spans="1:12" ht="18.75" x14ac:dyDescent="0.3">
      <c r="A21" s="464" t="s">
        <v>16</v>
      </c>
      <c r="B21" s="464"/>
      <c r="C21" s="464"/>
      <c r="D21" s="464"/>
      <c r="E21" s="464"/>
      <c r="F21" s="464"/>
      <c r="G21" s="205"/>
      <c r="H21" s="206"/>
      <c r="I21" s="207">
        <f>SUM(I14:I20)</f>
        <v>224.26999999999998</v>
      </c>
      <c r="J21" s="206">
        <v>127.79</v>
      </c>
      <c r="K21" s="208">
        <f>J21-I21</f>
        <v>-96.479999999999976</v>
      </c>
    </row>
    <row r="22" spans="1:12" ht="18.75" x14ac:dyDescent="0.3">
      <c r="A22" s="462" t="s">
        <v>500</v>
      </c>
      <c r="B22" s="462"/>
      <c r="C22" s="462"/>
      <c r="D22" s="462"/>
      <c r="E22" s="462"/>
      <c r="F22" s="462"/>
      <c r="G22" s="462"/>
      <c r="H22" s="462"/>
      <c r="I22" s="462"/>
      <c r="J22" s="212"/>
    </row>
    <row r="23" spans="1:12" ht="18.75" x14ac:dyDescent="0.25">
      <c r="A23" s="263">
        <v>0.48</v>
      </c>
      <c r="B23" s="263">
        <v>2.37</v>
      </c>
      <c r="C23" s="263">
        <v>3.09</v>
      </c>
      <c r="D23" s="263">
        <v>36.64</v>
      </c>
      <c r="E23" s="384" t="str">
        <f>"7/26"</f>
        <v>7/26</v>
      </c>
      <c r="F23" s="385" t="s">
        <v>717</v>
      </c>
      <c r="G23" s="211" t="str">
        <f>IFERROR(VLOOKUP(F23,[1]Реестр!A:K,2,0),"")</f>
        <v/>
      </c>
      <c r="H23" s="210">
        <v>30</v>
      </c>
      <c r="I23" s="230">
        <v>19.260000000000002</v>
      </c>
      <c r="J23" s="212"/>
    </row>
    <row r="24" spans="1:12" ht="18.75" x14ac:dyDescent="0.3">
      <c r="A24" s="348">
        <v>19.440000000000001</v>
      </c>
      <c r="B24" s="348">
        <v>19.420000000000002</v>
      </c>
      <c r="C24" s="348">
        <v>57.63</v>
      </c>
      <c r="D24" s="348">
        <v>436.2</v>
      </c>
      <c r="E24" s="242" t="s">
        <v>712</v>
      </c>
      <c r="F24" s="242" t="s">
        <v>713</v>
      </c>
      <c r="G24" s="211" t="str">
        <f>IFERROR(VLOOKUP(F24,[2]Реестр!A:K,2,0),"")</f>
        <v/>
      </c>
      <c r="H24" s="206">
        <v>250</v>
      </c>
      <c r="I24" s="206">
        <v>130.94</v>
      </c>
      <c r="J24" s="201" t="str">
        <f>IFERROR(VLOOKUP(O24,Реестр!#REF!,3,0)*Q24/P24,"")</f>
        <v/>
      </c>
    </row>
    <row r="25" spans="1:12" ht="18.75" x14ac:dyDescent="0.3">
      <c r="A25" s="263">
        <v>0.18</v>
      </c>
      <c r="B25" s="263">
        <v>0.05</v>
      </c>
      <c r="C25" s="263">
        <v>0.32</v>
      </c>
      <c r="D25" s="263">
        <v>37.582527999999996</v>
      </c>
      <c r="E25" s="242" t="s">
        <v>714</v>
      </c>
      <c r="F25" s="386" t="s">
        <v>328</v>
      </c>
      <c r="G25" s="211">
        <f>IFERROR(VLOOKUP(F25,[2]Реестр!A:K,2,0),"")</f>
        <v>200</v>
      </c>
      <c r="H25" s="206">
        <v>200</v>
      </c>
      <c r="I25" s="207">
        <v>19.54</v>
      </c>
      <c r="J25" s="201"/>
    </row>
    <row r="26" spans="1:12" ht="18.75" x14ac:dyDescent="0.3">
      <c r="A26" s="264">
        <v>3.3</v>
      </c>
      <c r="B26" s="264">
        <v>0.3</v>
      </c>
      <c r="C26" s="264">
        <v>23.4</v>
      </c>
      <c r="D26" s="264">
        <v>112</v>
      </c>
      <c r="E26" s="242" t="str">
        <f>"-"</f>
        <v>-</v>
      </c>
      <c r="F26" s="387" t="s">
        <v>715</v>
      </c>
      <c r="G26" s="211" t="str">
        <f>IFERROR(VLOOKUP(F26,[2]Реестр!A:K,2,0),"")</f>
        <v/>
      </c>
      <c r="H26" s="206">
        <v>50</v>
      </c>
      <c r="I26" s="207">
        <v>4.5</v>
      </c>
      <c r="J26" s="201" t="str">
        <f>IFERROR(VLOOKUP(O26,Реестр!#REF!,3,0)*Q26/P26,"")</f>
        <v/>
      </c>
    </row>
    <row r="27" spans="1:12" ht="18.75" x14ac:dyDescent="0.3">
      <c r="A27" s="264">
        <v>2</v>
      </c>
      <c r="B27" s="264">
        <v>0.4</v>
      </c>
      <c r="C27" s="264">
        <v>10</v>
      </c>
      <c r="D27" s="264">
        <v>58</v>
      </c>
      <c r="E27" s="381" t="str">
        <f>"-"</f>
        <v>-</v>
      </c>
      <c r="F27" s="381" t="s">
        <v>707</v>
      </c>
      <c r="G27" s="211" t="str">
        <f>IFERROR(VLOOKUP(F27,[2]Реестр!A:K,2,0),"")</f>
        <v/>
      </c>
      <c r="H27" s="206">
        <v>30</v>
      </c>
      <c r="I27" s="203">
        <v>2.7</v>
      </c>
      <c r="J27" s="201"/>
    </row>
    <row r="28" spans="1:12" ht="18.75" x14ac:dyDescent="0.3">
      <c r="A28" s="196"/>
      <c r="B28" s="196"/>
      <c r="C28" s="196"/>
      <c r="D28" s="196"/>
      <c r="E28" s="197"/>
      <c r="F28" s="217"/>
      <c r="G28" s="199"/>
      <c r="H28" s="206"/>
      <c r="I28" s="203"/>
      <c r="J28" s="201" t="str">
        <f>IFERROR(VLOOKUP(O28,Реестр!#REF!,3,0)*Q28/P28,"")</f>
        <v/>
      </c>
    </row>
    <row r="29" spans="1:12" ht="18.75" x14ac:dyDescent="0.3">
      <c r="A29" s="453" t="s">
        <v>16</v>
      </c>
      <c r="B29" s="454"/>
      <c r="C29" s="454"/>
      <c r="D29" s="454"/>
      <c r="E29" s="454"/>
      <c r="F29" s="455"/>
      <c r="G29" s="205"/>
      <c r="H29" s="206"/>
      <c r="I29" s="207">
        <f>SUM(I23:I28)</f>
        <v>176.93999999999997</v>
      </c>
      <c r="J29" s="206">
        <v>98.52</v>
      </c>
      <c r="K29" s="208">
        <f>I29-J29</f>
        <v>78.419999999999973</v>
      </c>
      <c r="L29" s="208"/>
    </row>
    <row r="30" spans="1:12" ht="18.75" x14ac:dyDescent="0.3">
      <c r="A30" s="462" t="s">
        <v>501</v>
      </c>
      <c r="B30" s="462"/>
      <c r="C30" s="462"/>
      <c r="D30" s="462"/>
      <c r="E30" s="462"/>
      <c r="F30" s="462"/>
      <c r="G30" s="462"/>
      <c r="H30" s="462"/>
      <c r="I30" s="462"/>
      <c r="J30" s="201"/>
    </row>
    <row r="31" spans="1:12" ht="30" x14ac:dyDescent="0.3">
      <c r="A31" s="383">
        <v>2.2999999999999998</v>
      </c>
      <c r="B31" s="383">
        <v>6.01</v>
      </c>
      <c r="C31" s="383">
        <v>4.01</v>
      </c>
      <c r="D31" s="383">
        <v>72.147796</v>
      </c>
      <c r="E31" s="242" t="s">
        <v>709</v>
      </c>
      <c r="F31" s="242" t="s">
        <v>710</v>
      </c>
      <c r="G31" s="211" t="str">
        <f>IFERROR(VLOOKUP(F31,[2]Реестр!A:K,2,0),"")</f>
        <v/>
      </c>
      <c r="H31" s="210">
        <v>100</v>
      </c>
      <c r="I31" s="230">
        <v>56.17</v>
      </c>
      <c r="J31" s="201"/>
    </row>
    <row r="32" spans="1:12" ht="18.75" x14ac:dyDescent="0.3">
      <c r="A32" s="263">
        <v>4.1100000000000003</v>
      </c>
      <c r="B32" s="263">
        <v>4.7699999999999996</v>
      </c>
      <c r="C32" s="263">
        <v>26.5</v>
      </c>
      <c r="D32" s="263">
        <v>213.5</v>
      </c>
      <c r="E32" s="242" t="s">
        <v>711</v>
      </c>
      <c r="F32" s="242" t="s">
        <v>716</v>
      </c>
      <c r="G32" s="211" t="str">
        <f>IFERROR(VLOOKUP(F32,[2]Реестр!A:K,2,0),"")</f>
        <v/>
      </c>
      <c r="H32" s="206">
        <v>250</v>
      </c>
      <c r="I32" s="207">
        <v>50</v>
      </c>
      <c r="J32" s="206"/>
      <c r="K32" s="208">
        <f>I38-J32</f>
        <v>265.40000000000003</v>
      </c>
    </row>
    <row r="33" spans="1:12" ht="18.75" x14ac:dyDescent="0.3">
      <c r="A33" s="348">
        <v>17.5</v>
      </c>
      <c r="B33" s="348">
        <v>15.6</v>
      </c>
      <c r="C33" s="348">
        <v>42.3</v>
      </c>
      <c r="D33" s="348">
        <v>265.7</v>
      </c>
      <c r="E33" s="242" t="s">
        <v>712</v>
      </c>
      <c r="F33" s="242" t="s">
        <v>713</v>
      </c>
      <c r="G33" s="211" t="str">
        <f>IFERROR(VLOOKUP(F33,[2]Реестр!A:K,2,0),"")</f>
        <v/>
      </c>
      <c r="H33" s="206">
        <v>250</v>
      </c>
      <c r="I33" s="206">
        <v>130.94</v>
      </c>
      <c r="J33" s="212"/>
    </row>
    <row r="34" spans="1:12" ht="18.75" x14ac:dyDescent="0.3">
      <c r="A34" s="263">
        <v>3.94</v>
      </c>
      <c r="B34" s="263">
        <v>5.1100000000000003</v>
      </c>
      <c r="C34" s="263">
        <v>27.5</v>
      </c>
      <c r="D34" s="263">
        <v>170.19544859999999</v>
      </c>
      <c r="E34" s="242" t="s">
        <v>714</v>
      </c>
      <c r="F34" s="386" t="s">
        <v>328</v>
      </c>
      <c r="G34" s="211">
        <f>IFERROR(VLOOKUP(F34,[2]Реестр!A:K,2,0),"")</f>
        <v>200</v>
      </c>
      <c r="H34" s="206">
        <v>200</v>
      </c>
      <c r="I34" s="207">
        <v>19.54</v>
      </c>
      <c r="J34" s="212"/>
    </row>
    <row r="35" spans="1:12" ht="18.75" x14ac:dyDescent="0.3">
      <c r="A35" s="264">
        <v>0.14000000000000001</v>
      </c>
      <c r="B35" s="264">
        <v>0.1</v>
      </c>
      <c r="C35" s="264">
        <v>1.5</v>
      </c>
      <c r="D35" s="264">
        <v>83.962620000000015</v>
      </c>
      <c r="E35" s="242" t="s">
        <v>471</v>
      </c>
      <c r="F35" s="242" t="s">
        <v>715</v>
      </c>
      <c r="G35" s="211" t="str">
        <f>IFERROR(VLOOKUP(F35,[2]Реестр!A:K,2,0),"")</f>
        <v/>
      </c>
      <c r="H35" s="206">
        <v>50</v>
      </c>
      <c r="I35" s="207">
        <v>4.5</v>
      </c>
      <c r="J35" s="212"/>
    </row>
    <row r="36" spans="1:12" ht="18.75" x14ac:dyDescent="0.3">
      <c r="A36" s="264">
        <v>3.3</v>
      </c>
      <c r="B36" s="264">
        <v>0.3</v>
      </c>
      <c r="C36" s="264">
        <v>23.4</v>
      </c>
      <c r="D36" s="264">
        <v>112</v>
      </c>
      <c r="E36" s="381" t="s">
        <v>471</v>
      </c>
      <c r="F36" s="381" t="s">
        <v>707</v>
      </c>
      <c r="G36" s="211" t="str">
        <f>IFERROR(VLOOKUP(F36,[2]Реестр!A:K,2,0),"")</f>
        <v/>
      </c>
      <c r="H36" s="206">
        <v>50</v>
      </c>
      <c r="I36" s="203">
        <v>4.25</v>
      </c>
      <c r="J36" s="394"/>
    </row>
    <row r="37" spans="1:12" ht="18.75" x14ac:dyDescent="0.3">
      <c r="A37" s="209"/>
      <c r="B37" s="209"/>
      <c r="C37" s="209"/>
      <c r="D37" s="209"/>
      <c r="E37" s="218"/>
      <c r="F37" s="217"/>
      <c r="G37" s="211"/>
      <c r="H37" s="206"/>
      <c r="I37" s="207"/>
      <c r="J37" s="394"/>
    </row>
    <row r="38" spans="1:12" ht="18.75" x14ac:dyDescent="0.3">
      <c r="A38" s="453" t="s">
        <v>16</v>
      </c>
      <c r="B38" s="454"/>
      <c r="C38" s="454"/>
      <c r="D38" s="454"/>
      <c r="E38" s="454"/>
      <c r="F38" s="455"/>
      <c r="G38" s="205"/>
      <c r="H38" s="206"/>
      <c r="I38" s="207">
        <f>SUM(I31:I37)</f>
        <v>265.40000000000003</v>
      </c>
      <c r="J38" s="206">
        <v>147.79</v>
      </c>
      <c r="K38" s="208">
        <f>I38-J38</f>
        <v>117.61000000000004</v>
      </c>
    </row>
    <row r="39" spans="1:12" ht="18.75" x14ac:dyDescent="0.3">
      <c r="A39" s="462" t="s">
        <v>18</v>
      </c>
      <c r="B39" s="462"/>
      <c r="C39" s="462"/>
      <c r="D39" s="462"/>
      <c r="E39" s="462"/>
      <c r="F39" s="462"/>
      <c r="G39" s="462"/>
      <c r="H39" s="462"/>
      <c r="I39" s="462"/>
      <c r="J39" s="394"/>
    </row>
    <row r="40" spans="1:12" ht="18.75" x14ac:dyDescent="0.3">
      <c r="A40" s="462" t="s">
        <v>19</v>
      </c>
      <c r="B40" s="462"/>
      <c r="C40" s="462"/>
      <c r="D40" s="462"/>
      <c r="E40" s="462"/>
      <c r="F40" s="462"/>
      <c r="G40" s="462"/>
      <c r="H40" s="462"/>
      <c r="I40" s="462"/>
      <c r="J40" s="394"/>
    </row>
    <row r="41" spans="1:12" ht="18.75" x14ac:dyDescent="0.3">
      <c r="A41" s="243">
        <v>4.2300000000000004</v>
      </c>
      <c r="B41" s="243">
        <v>4.96</v>
      </c>
      <c r="C41" s="243">
        <v>38.700000000000003</v>
      </c>
      <c r="D41" s="243">
        <v>228.9</v>
      </c>
      <c r="E41" s="242" t="str">
        <f>"1/50"</f>
        <v>1/50</v>
      </c>
      <c r="F41" s="242" t="s">
        <v>706</v>
      </c>
      <c r="G41" s="211" t="str">
        <f>IFERROR(VLOOKUP(F41,[1]Реестр!A:K,2,0),"")</f>
        <v/>
      </c>
      <c r="H41" s="210">
        <v>30</v>
      </c>
      <c r="I41" s="207">
        <v>38.369999999999997</v>
      </c>
      <c r="J41" s="394" t="s">
        <v>20</v>
      </c>
    </row>
    <row r="42" spans="1:12" ht="18.75" x14ac:dyDescent="0.3">
      <c r="A42" s="243">
        <v>13.79</v>
      </c>
      <c r="B42" s="243">
        <v>14.6</v>
      </c>
      <c r="C42" s="243">
        <v>23.4</v>
      </c>
      <c r="D42" s="243">
        <v>266.7</v>
      </c>
      <c r="E42" s="242" t="str">
        <f>"4/56"</f>
        <v>4/56</v>
      </c>
      <c r="F42" s="242" t="s">
        <v>705</v>
      </c>
      <c r="G42" s="211"/>
      <c r="H42" s="210">
        <v>150</v>
      </c>
      <c r="I42" s="207">
        <v>75.42</v>
      </c>
      <c r="J42" s="394" t="s">
        <v>537</v>
      </c>
      <c r="K42" s="237"/>
      <c r="L42" s="237"/>
    </row>
    <row r="43" spans="1:12" ht="18.75" x14ac:dyDescent="0.3">
      <c r="A43" s="243">
        <v>0.18</v>
      </c>
      <c r="B43" s="243">
        <v>0.04</v>
      </c>
      <c r="C43" s="243">
        <v>13.75</v>
      </c>
      <c r="D43" s="243">
        <v>53.136642799999997</v>
      </c>
      <c r="E43" s="242" t="str">
        <f>"11/56"</f>
        <v>11/56</v>
      </c>
      <c r="F43" s="242" t="s">
        <v>499</v>
      </c>
      <c r="G43" s="211"/>
      <c r="H43" s="210">
        <v>200</v>
      </c>
      <c r="I43" s="207">
        <v>8.15</v>
      </c>
      <c r="J43" s="394" t="s">
        <v>477</v>
      </c>
      <c r="K43" s="237"/>
      <c r="L43" s="237"/>
    </row>
    <row r="44" spans="1:12" ht="18.75" x14ac:dyDescent="0.3">
      <c r="A44" s="264">
        <v>1.3</v>
      </c>
      <c r="B44" s="264">
        <v>0.2</v>
      </c>
      <c r="C44" s="264">
        <v>6.7</v>
      </c>
      <c r="D44" s="264">
        <v>39</v>
      </c>
      <c r="E44" s="381" t="str">
        <f>"-"</f>
        <v>-</v>
      </c>
      <c r="F44" s="381" t="s">
        <v>707</v>
      </c>
      <c r="G44" s="211"/>
      <c r="H44" s="206">
        <v>20</v>
      </c>
      <c r="I44" s="207">
        <v>1.8</v>
      </c>
      <c r="J44" s="394" t="s">
        <v>479</v>
      </c>
      <c r="K44" s="237"/>
      <c r="L44" s="237"/>
    </row>
    <row r="45" spans="1:12" ht="18.75" x14ac:dyDescent="0.3">
      <c r="A45" s="264">
        <v>0.52</v>
      </c>
      <c r="B45" s="264">
        <v>0.52</v>
      </c>
      <c r="C45" s="264">
        <v>15.08</v>
      </c>
      <c r="D45" s="264">
        <v>63.283999999999985</v>
      </c>
      <c r="E45" s="381" t="str">
        <f>"-"</f>
        <v>-</v>
      </c>
      <c r="F45" s="381" t="s">
        <v>708</v>
      </c>
      <c r="G45" s="211"/>
      <c r="H45" s="206">
        <v>130</v>
      </c>
      <c r="I45" s="207">
        <v>25.78</v>
      </c>
      <c r="J45" s="394" t="s">
        <v>475</v>
      </c>
      <c r="K45" s="238"/>
      <c r="L45" s="237"/>
    </row>
    <row r="46" spans="1:12" ht="18.75" x14ac:dyDescent="0.3">
      <c r="A46" s="465" t="s">
        <v>25</v>
      </c>
      <c r="B46" s="466"/>
      <c r="C46" s="466"/>
      <c r="D46" s="466"/>
      <c r="E46" s="466"/>
      <c r="F46" s="466"/>
      <c r="G46" s="466"/>
      <c r="H46" s="466"/>
      <c r="I46" s="467"/>
      <c r="J46" s="394"/>
    </row>
    <row r="47" spans="1:12" s="234" customFormat="1" ht="30" x14ac:dyDescent="0.25">
      <c r="A47" s="383">
        <v>1.33</v>
      </c>
      <c r="B47" s="383">
        <v>5.12</v>
      </c>
      <c r="C47" s="383">
        <v>4.0999999999999996</v>
      </c>
      <c r="D47" s="383">
        <v>73.52</v>
      </c>
      <c r="E47" s="382" t="s">
        <v>709</v>
      </c>
      <c r="F47" s="242" t="s">
        <v>710</v>
      </c>
      <c r="G47" s="211" t="str">
        <f>IFERROR(VLOOKUP(F47,[2]Реестр!A:K,2,0),"")</f>
        <v/>
      </c>
      <c r="H47" s="210">
        <v>80</v>
      </c>
      <c r="I47" s="230">
        <v>44.94</v>
      </c>
      <c r="J47" s="239" t="s">
        <v>538</v>
      </c>
    </row>
    <row r="48" spans="1:12" ht="18.75" x14ac:dyDescent="0.3">
      <c r="A48" s="263">
        <v>4.1100000000000003</v>
      </c>
      <c r="B48" s="263">
        <v>4.7699999999999996</v>
      </c>
      <c r="C48" s="263">
        <v>19.5</v>
      </c>
      <c r="D48" s="263">
        <v>143.13</v>
      </c>
      <c r="E48" s="242" t="s">
        <v>711</v>
      </c>
      <c r="F48" s="242" t="s">
        <v>716</v>
      </c>
      <c r="G48" s="211" t="str">
        <f>IFERROR(VLOOKUP(F48,[2]Реестр!A:K,2,0),"")</f>
        <v/>
      </c>
      <c r="H48" s="206">
        <v>250</v>
      </c>
      <c r="I48" s="207">
        <v>50</v>
      </c>
      <c r="J48" s="394" t="s">
        <v>478</v>
      </c>
    </row>
    <row r="49" spans="1:11" ht="18.75" x14ac:dyDescent="0.3">
      <c r="A49" s="263">
        <v>15.55</v>
      </c>
      <c r="B49" s="263">
        <v>15.4</v>
      </c>
      <c r="C49" s="263">
        <v>57.1</v>
      </c>
      <c r="D49" s="263">
        <v>364.2</v>
      </c>
      <c r="E49" s="242" t="s">
        <v>712</v>
      </c>
      <c r="F49" s="242" t="s">
        <v>713</v>
      </c>
      <c r="G49" s="211" t="str">
        <f>IFERROR(VLOOKUP(F49,[2]Реестр!A:K,2,0),"")</f>
        <v/>
      </c>
      <c r="H49" s="206">
        <v>200</v>
      </c>
      <c r="I49" s="206">
        <v>102.59</v>
      </c>
      <c r="J49" s="394" t="s">
        <v>537</v>
      </c>
    </row>
    <row r="50" spans="1:11" ht="18.75" x14ac:dyDescent="0.3">
      <c r="A50" s="263">
        <v>0.18</v>
      </c>
      <c r="B50" s="263">
        <v>0.05</v>
      </c>
      <c r="C50" s="263">
        <v>0.32</v>
      </c>
      <c r="D50" s="263">
        <v>37.582527999999996</v>
      </c>
      <c r="E50" s="242" t="s">
        <v>714</v>
      </c>
      <c r="F50" s="242" t="s">
        <v>328</v>
      </c>
      <c r="G50" s="211">
        <f>IFERROR(VLOOKUP(F50,[2]Реестр!A:K,2,0),"")</f>
        <v>200</v>
      </c>
      <c r="H50" s="206">
        <v>200</v>
      </c>
      <c r="I50" s="207">
        <v>19.54</v>
      </c>
      <c r="J50" s="394" t="s">
        <v>29</v>
      </c>
    </row>
    <row r="51" spans="1:11" ht="18.75" x14ac:dyDescent="0.3">
      <c r="A51" s="264">
        <v>3.3</v>
      </c>
      <c r="B51" s="264">
        <v>0.3</v>
      </c>
      <c r="C51" s="264">
        <v>23.4</v>
      </c>
      <c r="D51" s="264">
        <v>112</v>
      </c>
      <c r="E51" s="242" t="s">
        <v>471</v>
      </c>
      <c r="F51" s="242" t="s">
        <v>715</v>
      </c>
      <c r="G51" s="211" t="str">
        <f>IFERROR(VLOOKUP(F51,[2]Реестр!A:K,2,0),"")</f>
        <v/>
      </c>
      <c r="H51" s="206">
        <v>50</v>
      </c>
      <c r="I51" s="207">
        <v>4.5</v>
      </c>
      <c r="J51" s="394" t="s">
        <v>479</v>
      </c>
    </row>
    <row r="52" spans="1:11" ht="18.75" x14ac:dyDescent="0.3">
      <c r="A52" s="241">
        <v>2</v>
      </c>
      <c r="B52" s="241">
        <v>0.4</v>
      </c>
      <c r="C52" s="241">
        <v>10</v>
      </c>
      <c r="D52" s="241">
        <v>58</v>
      </c>
      <c r="E52" s="381" t="s">
        <v>471</v>
      </c>
      <c r="F52" s="381" t="s">
        <v>707</v>
      </c>
      <c r="G52" s="211" t="str">
        <f>IFERROR(VLOOKUP(F52,[2]Реестр!A:K,2,0),"")</f>
        <v/>
      </c>
      <c r="H52" s="206">
        <v>30</v>
      </c>
      <c r="I52" s="203">
        <v>2.7</v>
      </c>
      <c r="J52" s="394" t="s">
        <v>539</v>
      </c>
    </row>
    <row r="53" spans="1:11" ht="18.75" x14ac:dyDescent="0.3">
      <c r="A53" s="196"/>
      <c r="B53" s="196"/>
      <c r="C53" s="196"/>
      <c r="D53" s="196"/>
      <c r="E53" s="214"/>
      <c r="F53" s="204"/>
      <c r="G53" s="199"/>
      <c r="H53" s="200"/>
      <c r="I53" s="203"/>
      <c r="J53" s="394" t="s">
        <v>540</v>
      </c>
    </row>
    <row r="54" spans="1:11" ht="18.75" x14ac:dyDescent="0.3">
      <c r="A54" s="464" t="s">
        <v>16</v>
      </c>
      <c r="B54" s="464"/>
      <c r="C54" s="464"/>
      <c r="D54" s="464"/>
      <c r="E54" s="464"/>
      <c r="F54" s="464"/>
      <c r="G54" s="206"/>
      <c r="H54" s="206"/>
      <c r="I54" s="207">
        <f>SUM(I41:I45,I47:I53)</f>
        <v>373.78999999999996</v>
      </c>
      <c r="J54" s="206">
        <v>212.99</v>
      </c>
      <c r="K54" s="208">
        <f>I54-J54</f>
        <v>160.79999999999995</v>
      </c>
    </row>
    <row r="55" spans="1:11" ht="18.75" x14ac:dyDescent="0.3">
      <c r="A55" s="465" t="s">
        <v>33</v>
      </c>
      <c r="B55" s="466"/>
      <c r="C55" s="466"/>
      <c r="D55" s="466"/>
      <c r="E55" s="466"/>
      <c r="F55" s="466"/>
      <c r="G55" s="466"/>
      <c r="H55" s="466"/>
      <c r="I55" s="467"/>
      <c r="J55" s="394"/>
    </row>
    <row r="56" spans="1:11" ht="18.75" x14ac:dyDescent="0.3">
      <c r="A56" s="465" t="s">
        <v>19</v>
      </c>
      <c r="B56" s="466"/>
      <c r="C56" s="466"/>
      <c r="D56" s="466"/>
      <c r="E56" s="466"/>
      <c r="F56" s="466"/>
      <c r="G56" s="466"/>
      <c r="H56" s="466"/>
      <c r="I56" s="467"/>
      <c r="J56" s="394"/>
    </row>
    <row r="57" spans="1:11" ht="18.75" x14ac:dyDescent="0.3">
      <c r="A57" s="243">
        <v>3.76</v>
      </c>
      <c r="B57" s="243">
        <v>3.05</v>
      </c>
      <c r="C57" s="243">
        <v>15.15</v>
      </c>
      <c r="D57" s="243">
        <v>112.3</v>
      </c>
      <c r="E57" s="242" t="str">
        <f>"1/50"</f>
        <v>1/50</v>
      </c>
      <c r="F57" s="242" t="s">
        <v>718</v>
      </c>
      <c r="G57" s="211" t="str">
        <f>IFERROR(VLOOKUP(F57,[1]Реестр!A:K,2,0),"")</f>
        <v/>
      </c>
      <c r="H57" s="210">
        <v>30</v>
      </c>
      <c r="I57" s="207">
        <v>38.369999999999997</v>
      </c>
      <c r="J57" s="394" t="s">
        <v>20</v>
      </c>
    </row>
    <row r="58" spans="1:11" ht="18.75" x14ac:dyDescent="0.3">
      <c r="A58" s="243">
        <v>16.39</v>
      </c>
      <c r="B58" s="243">
        <v>19.7</v>
      </c>
      <c r="C58" s="243">
        <v>41.3</v>
      </c>
      <c r="D58" s="243">
        <v>392.3</v>
      </c>
      <c r="E58" s="242" t="str">
        <f>"4/56"</f>
        <v>4/56</v>
      </c>
      <c r="F58" s="242" t="s">
        <v>705</v>
      </c>
      <c r="G58" s="211"/>
      <c r="H58" s="210">
        <v>200</v>
      </c>
      <c r="I58" s="207">
        <v>101.94</v>
      </c>
      <c r="J58" s="394" t="s">
        <v>537</v>
      </c>
    </row>
    <row r="59" spans="1:11" ht="18.75" x14ac:dyDescent="0.3">
      <c r="A59" s="243">
        <v>0.18</v>
      </c>
      <c r="B59" s="243">
        <v>0.04</v>
      </c>
      <c r="C59" s="243">
        <v>13.75</v>
      </c>
      <c r="D59" s="243">
        <v>53.136642799999997</v>
      </c>
      <c r="E59" s="242" t="str">
        <f>"11/56"</f>
        <v>11/56</v>
      </c>
      <c r="F59" s="242" t="s">
        <v>499</v>
      </c>
      <c r="G59" s="211"/>
      <c r="H59" s="210">
        <v>200</v>
      </c>
      <c r="I59" s="207">
        <v>8.15</v>
      </c>
      <c r="J59" s="394" t="s">
        <v>477</v>
      </c>
    </row>
    <row r="60" spans="1:11" ht="18.75" x14ac:dyDescent="0.3">
      <c r="A60" s="264">
        <v>2</v>
      </c>
      <c r="B60" s="264">
        <v>0.4</v>
      </c>
      <c r="C60" s="264">
        <v>10</v>
      </c>
      <c r="D60" s="264">
        <v>58</v>
      </c>
      <c r="E60" s="381" t="str">
        <f>"-"</f>
        <v>-</v>
      </c>
      <c r="F60" s="381" t="s">
        <v>707</v>
      </c>
      <c r="G60" s="211"/>
      <c r="H60" s="206">
        <v>30</v>
      </c>
      <c r="I60" s="207">
        <v>2.7</v>
      </c>
      <c r="J60" s="394" t="s">
        <v>541</v>
      </c>
      <c r="K60" s="237"/>
    </row>
    <row r="61" spans="1:11" ht="18.75" x14ac:dyDescent="0.3">
      <c r="A61" s="264">
        <v>0.52</v>
      </c>
      <c r="B61" s="264">
        <v>0.52</v>
      </c>
      <c r="C61" s="264">
        <v>15.08</v>
      </c>
      <c r="D61" s="264">
        <v>63.283999999999985</v>
      </c>
      <c r="E61" s="381" t="str">
        <f>"-"</f>
        <v>-</v>
      </c>
      <c r="F61" s="381" t="s">
        <v>708</v>
      </c>
      <c r="G61" s="211"/>
      <c r="H61" s="206">
        <v>130</v>
      </c>
      <c r="I61" s="207">
        <v>25.78</v>
      </c>
      <c r="J61" s="394" t="s">
        <v>475</v>
      </c>
      <c r="K61" s="237"/>
    </row>
    <row r="62" spans="1:11" ht="18.75" x14ac:dyDescent="0.3">
      <c r="A62" s="465" t="s">
        <v>25</v>
      </c>
      <c r="B62" s="466"/>
      <c r="C62" s="466"/>
      <c r="D62" s="466"/>
      <c r="E62" s="466"/>
      <c r="F62" s="466"/>
      <c r="G62" s="466"/>
      <c r="H62" s="466"/>
      <c r="I62" s="467"/>
      <c r="J62" s="201" t="str">
        <f>IFERROR(VLOOKUP(O62,Реестр!#REF!,3,0)*Q62/P62,"")</f>
        <v/>
      </c>
      <c r="K62" s="237"/>
    </row>
    <row r="63" spans="1:11" s="234" customFormat="1" ht="30" x14ac:dyDescent="0.25">
      <c r="A63" s="383">
        <v>2.2999999999999998</v>
      </c>
      <c r="B63" s="383">
        <v>6.01</v>
      </c>
      <c r="C63" s="383">
        <v>4.01</v>
      </c>
      <c r="D63" s="383">
        <v>72.147796</v>
      </c>
      <c r="E63" s="242" t="s">
        <v>709</v>
      </c>
      <c r="F63" s="242" t="s">
        <v>710</v>
      </c>
      <c r="G63" s="211" t="str">
        <f>IFERROR(VLOOKUP(F63,[2]Реестр!A:K,2,0),"")</f>
        <v/>
      </c>
      <c r="H63" s="210">
        <v>100</v>
      </c>
      <c r="I63" s="230">
        <v>56.17</v>
      </c>
      <c r="J63" s="239" t="s">
        <v>538</v>
      </c>
      <c r="K63" s="240"/>
    </row>
    <row r="64" spans="1:11" ht="18.75" x14ac:dyDescent="0.3">
      <c r="A64" s="263">
        <v>4.1100000000000003</v>
      </c>
      <c r="B64" s="263">
        <v>4.7699999999999996</v>
      </c>
      <c r="C64" s="263">
        <v>26.5</v>
      </c>
      <c r="D64" s="263">
        <v>213.5</v>
      </c>
      <c r="E64" s="242" t="s">
        <v>711</v>
      </c>
      <c r="F64" s="242" t="s">
        <v>716</v>
      </c>
      <c r="G64" s="211" t="str">
        <f>IFERROR(VLOOKUP(F64,[2]Реестр!A:K,2,0),"")</f>
        <v/>
      </c>
      <c r="H64" s="206">
        <v>250</v>
      </c>
      <c r="I64" s="207">
        <v>50</v>
      </c>
      <c r="J64" s="394" t="s">
        <v>478</v>
      </c>
      <c r="K64" s="237"/>
    </row>
    <row r="65" spans="1:12" ht="18.75" x14ac:dyDescent="0.3">
      <c r="A65" s="348">
        <v>17.5</v>
      </c>
      <c r="B65" s="348">
        <v>15.6</v>
      </c>
      <c r="C65" s="348">
        <v>42.3</v>
      </c>
      <c r="D65" s="348">
        <v>265.7</v>
      </c>
      <c r="E65" s="242" t="s">
        <v>712</v>
      </c>
      <c r="F65" s="242" t="s">
        <v>713</v>
      </c>
      <c r="G65" s="211" t="str">
        <f>IFERROR(VLOOKUP(F65,[2]Реестр!A:K,2,0),"")</f>
        <v/>
      </c>
      <c r="H65" s="206">
        <v>250</v>
      </c>
      <c r="I65" s="206">
        <v>130.94</v>
      </c>
      <c r="J65" s="394" t="s">
        <v>537</v>
      </c>
      <c r="K65" s="237"/>
    </row>
    <row r="66" spans="1:12" ht="18.75" x14ac:dyDescent="0.3">
      <c r="A66" s="263">
        <v>3.94</v>
      </c>
      <c r="B66" s="263">
        <v>5.1100000000000003</v>
      </c>
      <c r="C66" s="263">
        <v>27.5</v>
      </c>
      <c r="D66" s="263">
        <v>170.19544859999999</v>
      </c>
      <c r="E66" s="242" t="s">
        <v>714</v>
      </c>
      <c r="F66" s="386" t="s">
        <v>328</v>
      </c>
      <c r="G66" s="211">
        <f>IFERROR(VLOOKUP(F66,[2]Реестр!A:K,2,0),"")</f>
        <v>200</v>
      </c>
      <c r="H66" s="206">
        <v>200</v>
      </c>
      <c r="I66" s="207">
        <v>19.54</v>
      </c>
      <c r="J66" s="394" t="s">
        <v>29</v>
      </c>
      <c r="K66" s="237"/>
    </row>
    <row r="67" spans="1:12" ht="18.75" x14ac:dyDescent="0.3">
      <c r="A67" s="264">
        <v>0.14000000000000001</v>
      </c>
      <c r="B67" s="264">
        <v>0.1</v>
      </c>
      <c r="C67" s="264">
        <v>1.5</v>
      </c>
      <c r="D67" s="264">
        <v>83.962620000000015</v>
      </c>
      <c r="E67" s="242" t="s">
        <v>471</v>
      </c>
      <c r="F67" s="242" t="s">
        <v>715</v>
      </c>
      <c r="G67" s="211" t="str">
        <f>IFERROR(VLOOKUP(F67,[2]Реестр!A:K,2,0),"")</f>
        <v/>
      </c>
      <c r="H67" s="206">
        <v>50</v>
      </c>
      <c r="I67" s="207">
        <v>4.5</v>
      </c>
      <c r="J67" s="394" t="s">
        <v>479</v>
      </c>
      <c r="K67" s="208"/>
    </row>
    <row r="68" spans="1:12" ht="18.75" x14ac:dyDescent="0.3">
      <c r="A68" s="264">
        <v>3.3</v>
      </c>
      <c r="B68" s="264">
        <v>0.3</v>
      </c>
      <c r="C68" s="264">
        <v>23.4</v>
      </c>
      <c r="D68" s="264">
        <v>112</v>
      </c>
      <c r="E68" s="381" t="s">
        <v>471</v>
      </c>
      <c r="F68" s="381" t="s">
        <v>707</v>
      </c>
      <c r="G68" s="211" t="str">
        <f>IFERROR(VLOOKUP(F68,[2]Реестр!A:K,2,0),"")</f>
        <v/>
      </c>
      <c r="H68" s="206">
        <v>50</v>
      </c>
      <c r="I68" s="207">
        <v>4.25</v>
      </c>
      <c r="J68" s="394" t="s">
        <v>23</v>
      </c>
    </row>
    <row r="69" spans="1:12" ht="18.75" x14ac:dyDescent="0.3">
      <c r="A69" s="209"/>
      <c r="B69" s="209"/>
      <c r="C69" s="209"/>
      <c r="D69" s="209"/>
      <c r="E69" s="218"/>
      <c r="F69" s="217"/>
      <c r="G69" s="211"/>
      <c r="H69" s="206"/>
      <c r="I69" s="207"/>
      <c r="J69" s="394" t="s">
        <v>540</v>
      </c>
    </row>
    <row r="70" spans="1:12" ht="18" customHeight="1" x14ac:dyDescent="0.3">
      <c r="A70" s="464" t="s">
        <v>16</v>
      </c>
      <c r="B70" s="464"/>
      <c r="C70" s="464"/>
      <c r="D70" s="464"/>
      <c r="E70" s="464"/>
      <c r="F70" s="464"/>
      <c r="G70" s="206"/>
      <c r="H70" s="206"/>
      <c r="I70" s="207">
        <f>SUM(I57:I61)+SUM(I63:I69)</f>
        <v>442.34000000000003</v>
      </c>
      <c r="J70" s="201">
        <v>246.31</v>
      </c>
      <c r="K70" s="208">
        <f>J70-I70</f>
        <v>-196.03000000000003</v>
      </c>
    </row>
    <row r="71" spans="1:12" ht="18.75" x14ac:dyDescent="0.3">
      <c r="A71" s="465" t="s">
        <v>34</v>
      </c>
      <c r="B71" s="466"/>
      <c r="C71" s="466"/>
      <c r="D71" s="466"/>
      <c r="E71" s="466"/>
      <c r="F71" s="466"/>
      <c r="G71" s="466"/>
      <c r="H71" s="466"/>
      <c r="I71" s="467"/>
      <c r="J71" s="206"/>
      <c r="K71" s="208"/>
    </row>
    <row r="72" spans="1:12" ht="18.75" x14ac:dyDescent="0.25">
      <c r="A72" s="263">
        <v>0.48</v>
      </c>
      <c r="B72" s="263">
        <v>2.37</v>
      </c>
      <c r="C72" s="263">
        <v>3.09</v>
      </c>
      <c r="D72" s="263">
        <v>36.64</v>
      </c>
      <c r="E72" s="384" t="str">
        <f>"7/26"</f>
        <v>7/26</v>
      </c>
      <c r="F72" s="385" t="s">
        <v>717</v>
      </c>
      <c r="G72" s="211" t="str">
        <f>IFERROR(VLOOKUP(F72,[1]Реестр!A:K,2,0),"")</f>
        <v/>
      </c>
      <c r="H72" s="210">
        <v>30</v>
      </c>
      <c r="I72" s="230">
        <v>19.260000000000002</v>
      </c>
    </row>
    <row r="73" spans="1:12" ht="18.75" x14ac:dyDescent="0.3">
      <c r="A73" s="348">
        <v>19.440000000000001</v>
      </c>
      <c r="B73" s="348">
        <v>19.420000000000002</v>
      </c>
      <c r="C73" s="348">
        <v>57.63</v>
      </c>
      <c r="D73" s="348">
        <v>436.2</v>
      </c>
      <c r="E73" s="242" t="s">
        <v>712</v>
      </c>
      <c r="F73" s="242" t="s">
        <v>713</v>
      </c>
      <c r="G73" s="211" t="str">
        <f>IFERROR(VLOOKUP(F73,[2]Реестр!A:K,2,0),"")</f>
        <v/>
      </c>
      <c r="H73" s="206">
        <v>250</v>
      </c>
      <c r="I73" s="206">
        <v>130.94</v>
      </c>
    </row>
    <row r="74" spans="1:12" ht="18.75" x14ac:dyDescent="0.3">
      <c r="A74" s="263">
        <v>0.18</v>
      </c>
      <c r="B74" s="263">
        <v>0.05</v>
      </c>
      <c r="C74" s="263">
        <v>0.32</v>
      </c>
      <c r="D74" s="263">
        <v>37.582527999999996</v>
      </c>
      <c r="E74" s="242" t="s">
        <v>714</v>
      </c>
      <c r="F74" s="386" t="s">
        <v>328</v>
      </c>
      <c r="G74" s="211">
        <f>IFERROR(VLOOKUP(F74,[2]Реестр!A:K,2,0),"")</f>
        <v>200</v>
      </c>
      <c r="H74" s="206">
        <v>200</v>
      </c>
      <c r="I74" s="207">
        <v>19.54</v>
      </c>
    </row>
    <row r="75" spans="1:12" ht="18.75" x14ac:dyDescent="0.3">
      <c r="A75" s="264">
        <v>3.3</v>
      </c>
      <c r="B75" s="264">
        <v>0.3</v>
      </c>
      <c r="C75" s="264">
        <v>23.4</v>
      </c>
      <c r="D75" s="264">
        <v>112</v>
      </c>
      <c r="E75" s="242" t="str">
        <f>"-"</f>
        <v>-</v>
      </c>
      <c r="F75" s="387" t="s">
        <v>715</v>
      </c>
      <c r="G75" s="211" t="str">
        <f>IFERROR(VLOOKUP(F75,[2]Реестр!A:K,2,0),"")</f>
        <v/>
      </c>
      <c r="H75" s="206">
        <v>50</v>
      </c>
      <c r="I75" s="207">
        <v>4.5</v>
      </c>
    </row>
    <row r="76" spans="1:12" ht="18.75" x14ac:dyDescent="0.3">
      <c r="A76" s="264">
        <v>2</v>
      </c>
      <c r="B76" s="264">
        <v>0.4</v>
      </c>
      <c r="C76" s="264">
        <v>10</v>
      </c>
      <c r="D76" s="264">
        <v>58</v>
      </c>
      <c r="E76" s="381" t="str">
        <f>"-"</f>
        <v>-</v>
      </c>
      <c r="F76" s="381" t="s">
        <v>707</v>
      </c>
      <c r="G76" s="211" t="str">
        <f>IFERROR(VLOOKUP(F76,[2]Реестр!A:K,2,0),"")</f>
        <v/>
      </c>
      <c r="H76" s="206">
        <v>30</v>
      </c>
      <c r="I76" s="207">
        <v>2.7</v>
      </c>
    </row>
    <row r="77" spans="1:12" ht="18.75" x14ac:dyDescent="0.3">
      <c r="A77" s="196"/>
      <c r="B77" s="196"/>
      <c r="C77" s="196"/>
      <c r="D77" s="196"/>
      <c r="E77" s="197"/>
      <c r="F77" s="204"/>
      <c r="G77" s="199"/>
      <c r="H77" s="200"/>
      <c r="I77" s="203"/>
    </row>
    <row r="78" spans="1:12" ht="18.75" x14ac:dyDescent="0.3">
      <c r="A78" s="453" t="s">
        <v>16</v>
      </c>
      <c r="B78" s="454"/>
      <c r="C78" s="454"/>
      <c r="D78" s="454"/>
      <c r="E78" s="454"/>
      <c r="F78" s="455"/>
      <c r="G78" s="205"/>
      <c r="H78" s="206"/>
      <c r="I78" s="207">
        <f>SUM(I72:I77)</f>
        <v>176.93999999999997</v>
      </c>
      <c r="J78" s="215">
        <v>98.52</v>
      </c>
      <c r="L78" s="208">
        <f>J78-I78</f>
        <v>-78.419999999999973</v>
      </c>
    </row>
    <row r="79" spans="1:12" ht="18.75" x14ac:dyDescent="0.25">
      <c r="A79" s="477" t="s">
        <v>35</v>
      </c>
      <c r="B79" s="478"/>
      <c r="C79" s="478"/>
      <c r="D79" s="478"/>
      <c r="E79" s="478"/>
      <c r="F79" s="478"/>
      <c r="G79" s="478"/>
      <c r="H79" s="478"/>
      <c r="I79" s="479"/>
    </row>
    <row r="80" spans="1:12" ht="18.75" x14ac:dyDescent="0.3">
      <c r="A80" s="219">
        <v>7.7</v>
      </c>
      <c r="B80" s="219">
        <v>7.42</v>
      </c>
      <c r="C80" s="219">
        <v>32.090000000000003</v>
      </c>
      <c r="D80" s="219">
        <v>225.88</v>
      </c>
      <c r="E80" s="416" t="s">
        <v>408</v>
      </c>
      <c r="F80" s="406" t="s">
        <v>529</v>
      </c>
      <c r="G80" s="211">
        <f>IFERROR(VLOOKUP(F80,[2]Реестр!A:K,2,0),"")</f>
        <v>100</v>
      </c>
      <c r="H80" s="206">
        <v>80</v>
      </c>
      <c r="I80" s="207">
        <v>50</v>
      </c>
      <c r="K80" s="208"/>
    </row>
    <row r="81" spans="1:12" ht="18.75" x14ac:dyDescent="0.3">
      <c r="A81" s="453" t="s">
        <v>16</v>
      </c>
      <c r="B81" s="454"/>
      <c r="C81" s="454"/>
      <c r="D81" s="454"/>
      <c r="E81" s="454"/>
      <c r="F81" s="455"/>
      <c r="G81" s="205"/>
      <c r="H81" s="206"/>
      <c r="I81" s="207">
        <f>I80</f>
        <v>50</v>
      </c>
      <c r="J81" s="215">
        <v>29</v>
      </c>
    </row>
    <row r="82" spans="1:12" ht="18.75" x14ac:dyDescent="0.3">
      <c r="A82" s="465" t="s">
        <v>36</v>
      </c>
      <c r="B82" s="466"/>
      <c r="C82" s="466"/>
      <c r="D82" s="466"/>
      <c r="E82" s="466"/>
      <c r="F82" s="466"/>
      <c r="G82" s="466"/>
      <c r="H82" s="466"/>
      <c r="I82" s="467"/>
    </row>
    <row r="83" spans="1:12" ht="18.75" x14ac:dyDescent="0.3">
      <c r="A83" s="263">
        <v>4.1100000000000003</v>
      </c>
      <c r="B83" s="263">
        <v>4.7699999999999996</v>
      </c>
      <c r="C83" s="263">
        <v>26.5</v>
      </c>
      <c r="D83" s="263">
        <v>213.5</v>
      </c>
      <c r="E83" s="242" t="s">
        <v>711</v>
      </c>
      <c r="F83" s="242" t="s">
        <v>716</v>
      </c>
      <c r="G83" s="211" t="str">
        <f>IFERROR(VLOOKUP(F83,[2]Реестр!A:K,2,0),"")</f>
        <v/>
      </c>
      <c r="H83" s="206">
        <v>250</v>
      </c>
      <c r="I83" s="207">
        <v>50</v>
      </c>
    </row>
    <row r="84" spans="1:12" ht="18.75" x14ac:dyDescent="0.3">
      <c r="A84" s="453" t="s">
        <v>16</v>
      </c>
      <c r="B84" s="454"/>
      <c r="C84" s="454"/>
      <c r="D84" s="454"/>
      <c r="E84" s="454"/>
      <c r="F84" s="455"/>
      <c r="G84" s="205"/>
      <c r="H84" s="206"/>
      <c r="I84" s="207">
        <f>SUM(I83:I83)</f>
        <v>50</v>
      </c>
      <c r="J84" s="215">
        <v>27</v>
      </c>
    </row>
    <row r="85" spans="1:12" ht="18.75" x14ac:dyDescent="0.3">
      <c r="A85" s="465" t="s">
        <v>503</v>
      </c>
      <c r="B85" s="466"/>
      <c r="C85" s="466"/>
      <c r="D85" s="466"/>
      <c r="E85" s="466"/>
      <c r="F85" s="466"/>
      <c r="G85" s="466"/>
      <c r="H85" s="466"/>
      <c r="I85" s="467"/>
    </row>
    <row r="86" spans="1:12" s="234" customFormat="1" ht="27" customHeight="1" x14ac:dyDescent="0.25">
      <c r="A86" s="383">
        <v>2.2999999999999998</v>
      </c>
      <c r="B86" s="383">
        <v>6.01</v>
      </c>
      <c r="C86" s="383">
        <v>4.01</v>
      </c>
      <c r="D86" s="383">
        <v>72.147796</v>
      </c>
      <c r="E86" s="242" t="s">
        <v>709</v>
      </c>
      <c r="F86" s="242" t="s">
        <v>710</v>
      </c>
      <c r="G86" s="211" t="str">
        <f>IFERROR(VLOOKUP(F86,[2]Реестр!A:K,2,0),"")</f>
        <v/>
      </c>
      <c r="H86" s="210">
        <v>100</v>
      </c>
      <c r="I86" s="230">
        <v>56.17</v>
      </c>
      <c r="J86" s="268"/>
    </row>
    <row r="87" spans="1:12" ht="18.75" x14ac:dyDescent="0.3">
      <c r="A87" s="263">
        <v>4.1100000000000003</v>
      </c>
      <c r="B87" s="263">
        <v>4.7699999999999996</v>
      </c>
      <c r="C87" s="263">
        <v>26.5</v>
      </c>
      <c r="D87" s="263">
        <v>213.5</v>
      </c>
      <c r="E87" s="242" t="s">
        <v>711</v>
      </c>
      <c r="F87" s="242" t="s">
        <v>716</v>
      </c>
      <c r="G87" s="211" t="str">
        <f>IFERROR(VLOOKUP(F87,[2]Реестр!A:K,2,0),"")</f>
        <v/>
      </c>
      <c r="H87" s="206">
        <v>250</v>
      </c>
      <c r="I87" s="207">
        <v>50</v>
      </c>
    </row>
    <row r="88" spans="1:12" ht="18.75" x14ac:dyDescent="0.3">
      <c r="A88" s="348">
        <v>17.5</v>
      </c>
      <c r="B88" s="348">
        <v>15.6</v>
      </c>
      <c r="C88" s="348">
        <v>42.3</v>
      </c>
      <c r="D88" s="348">
        <v>265.7</v>
      </c>
      <c r="E88" s="242" t="s">
        <v>712</v>
      </c>
      <c r="F88" s="242" t="s">
        <v>713</v>
      </c>
      <c r="G88" s="211" t="str">
        <f>IFERROR(VLOOKUP(F88,[2]Реестр!A:K,2,0),"")</f>
        <v/>
      </c>
      <c r="H88" s="206">
        <v>250</v>
      </c>
      <c r="I88" s="206">
        <v>130.94</v>
      </c>
    </row>
    <row r="89" spans="1:12" ht="18.75" x14ac:dyDescent="0.3">
      <c r="A89" s="263">
        <v>3.94</v>
      </c>
      <c r="B89" s="263">
        <v>5.1100000000000003</v>
      </c>
      <c r="C89" s="263">
        <v>27.5</v>
      </c>
      <c r="D89" s="263">
        <v>170.19544859999999</v>
      </c>
      <c r="E89" s="242" t="s">
        <v>714</v>
      </c>
      <c r="F89" s="386" t="s">
        <v>328</v>
      </c>
      <c r="G89" s="211">
        <f>IFERROR(VLOOKUP(F89,[2]Реестр!A:K,2,0),"")</f>
        <v>200</v>
      </c>
      <c r="H89" s="206">
        <v>200</v>
      </c>
      <c r="I89" s="207">
        <v>19.54</v>
      </c>
    </row>
    <row r="90" spans="1:12" ht="18.75" x14ac:dyDescent="0.3">
      <c r="A90" s="264">
        <v>0.14000000000000001</v>
      </c>
      <c r="B90" s="264">
        <v>0.1</v>
      </c>
      <c r="C90" s="264">
        <v>1.5</v>
      </c>
      <c r="D90" s="264">
        <v>83.962620000000015</v>
      </c>
      <c r="E90" s="242" t="s">
        <v>471</v>
      </c>
      <c r="F90" s="242" t="s">
        <v>715</v>
      </c>
      <c r="G90" s="211" t="str">
        <f>IFERROR(VLOOKUP(F90,[2]Реестр!A:K,2,0),"")</f>
        <v/>
      </c>
      <c r="H90" s="206">
        <v>50</v>
      </c>
      <c r="I90" s="207">
        <v>4.5</v>
      </c>
    </row>
    <row r="91" spans="1:12" ht="18.75" x14ac:dyDescent="0.3">
      <c r="A91" s="264">
        <v>3.3</v>
      </c>
      <c r="B91" s="264">
        <v>0.3</v>
      </c>
      <c r="C91" s="264">
        <v>23.4</v>
      </c>
      <c r="D91" s="264">
        <v>112</v>
      </c>
      <c r="E91" s="381" t="s">
        <v>471</v>
      </c>
      <c r="F91" s="381" t="s">
        <v>707</v>
      </c>
      <c r="G91" s="211" t="str">
        <f>IFERROR(VLOOKUP(F91,[2]Реестр!A:K,2,0),"")</f>
        <v/>
      </c>
      <c r="H91" s="206">
        <v>50</v>
      </c>
      <c r="I91" s="207">
        <v>4.25</v>
      </c>
    </row>
    <row r="92" spans="1:12" ht="18.75" x14ac:dyDescent="0.3">
      <c r="A92" s="196"/>
      <c r="B92" s="196"/>
      <c r="C92" s="196"/>
      <c r="D92" s="196"/>
      <c r="E92" s="214"/>
      <c r="F92" s="204"/>
      <c r="G92" s="199"/>
      <c r="H92" s="200"/>
      <c r="I92" s="203"/>
      <c r="K92" s="208"/>
    </row>
    <row r="93" spans="1:12" ht="18.75" x14ac:dyDescent="0.3">
      <c r="A93" s="464" t="s">
        <v>16</v>
      </c>
      <c r="B93" s="464"/>
      <c r="C93" s="464"/>
      <c r="D93" s="464"/>
      <c r="E93" s="464"/>
      <c r="F93" s="464"/>
      <c r="G93" s="205"/>
      <c r="H93" s="206"/>
      <c r="I93" s="207">
        <f>SUM(I86:I92)</f>
        <v>265.40000000000003</v>
      </c>
      <c r="J93" s="215">
        <v>147.79</v>
      </c>
      <c r="L93" s="208">
        <f>J93-I93</f>
        <v>-117.61000000000004</v>
      </c>
    </row>
    <row r="94" spans="1:12" ht="18.75" x14ac:dyDescent="0.3">
      <c r="A94" s="462" t="s">
        <v>544</v>
      </c>
      <c r="B94" s="462"/>
      <c r="C94" s="462"/>
      <c r="D94" s="462"/>
      <c r="E94" s="462"/>
      <c r="F94" s="462"/>
      <c r="G94" s="462"/>
      <c r="H94" s="462"/>
      <c r="I94" s="462"/>
      <c r="K94" s="208"/>
    </row>
    <row r="95" spans="1:12" ht="18.75" x14ac:dyDescent="0.25">
      <c r="A95" s="243">
        <v>3.76</v>
      </c>
      <c r="B95" s="243">
        <v>3.05</v>
      </c>
      <c r="C95" s="243">
        <v>13.8</v>
      </c>
      <c r="D95" s="243">
        <v>93.762559999999993</v>
      </c>
      <c r="E95" s="242" t="s">
        <v>732</v>
      </c>
      <c r="F95" s="387" t="s">
        <v>706</v>
      </c>
      <c r="G95" s="211" t="str">
        <f>IFERROR(VLOOKUP(F95,[1]Реестр!A:K,2,0),"")</f>
        <v/>
      </c>
      <c r="H95" s="243" t="s">
        <v>87</v>
      </c>
      <c r="I95" s="450">
        <v>149.52000000000001</v>
      </c>
      <c r="K95" s="208"/>
    </row>
    <row r="96" spans="1:12" ht="33.75" customHeight="1" x14ac:dyDescent="0.25">
      <c r="A96" s="243">
        <v>13.79</v>
      </c>
      <c r="B96" s="243">
        <v>20.23</v>
      </c>
      <c r="C96" s="243">
        <v>3.57</v>
      </c>
      <c r="D96" s="243">
        <v>251.02964924999998</v>
      </c>
      <c r="E96" s="242" t="s">
        <v>733</v>
      </c>
      <c r="F96" s="387" t="s">
        <v>705</v>
      </c>
      <c r="G96" s="211" t="str">
        <f>IFERROR(VLOOKUP(F96,[1]Реестр!A:K,2,0),"")</f>
        <v/>
      </c>
      <c r="H96" s="243" t="s">
        <v>147</v>
      </c>
      <c r="I96" s="451"/>
      <c r="K96" s="208"/>
    </row>
    <row r="97" spans="1:12" ht="18.75" x14ac:dyDescent="0.25">
      <c r="A97" s="243">
        <v>0.18</v>
      </c>
      <c r="B97" s="243">
        <v>0.04</v>
      </c>
      <c r="C97" s="243">
        <v>13.75</v>
      </c>
      <c r="D97" s="243">
        <v>53.136642799999997</v>
      </c>
      <c r="E97" s="242" t="s">
        <v>734</v>
      </c>
      <c r="F97" s="387" t="s">
        <v>632</v>
      </c>
      <c r="G97" s="211" t="str">
        <f>IFERROR(VLOOKUP(F97,[1]Реестр!A:K,2,0),"")</f>
        <v/>
      </c>
      <c r="H97" s="243" t="s">
        <v>118</v>
      </c>
      <c r="I97" s="451"/>
      <c r="K97" s="208"/>
    </row>
    <row r="98" spans="1:12" ht="18.75" x14ac:dyDescent="0.25">
      <c r="A98" s="241">
        <v>1.32</v>
      </c>
      <c r="B98" s="241">
        <v>0.24</v>
      </c>
      <c r="C98" s="241">
        <v>8.34</v>
      </c>
      <c r="D98" s="241">
        <v>38.676000000000002</v>
      </c>
      <c r="E98" s="381" t="str">
        <f>"-"</f>
        <v>-</v>
      </c>
      <c r="F98" s="381" t="s">
        <v>707</v>
      </c>
      <c r="G98" s="211" t="str">
        <f>IFERROR(VLOOKUP(F98,[1]Реестр!A:K,2,0),"")</f>
        <v/>
      </c>
      <c r="H98" s="264" t="str">
        <f>"20"</f>
        <v>20</v>
      </c>
      <c r="I98" s="451"/>
      <c r="K98" s="208"/>
    </row>
    <row r="99" spans="1:12" ht="18.75" x14ac:dyDescent="0.25">
      <c r="A99" s="241">
        <v>1.32</v>
      </c>
      <c r="B99" s="241">
        <v>0.24</v>
      </c>
      <c r="C99" s="241">
        <v>0</v>
      </c>
      <c r="D99" s="241">
        <v>38.676000000000002</v>
      </c>
      <c r="E99" s="381" t="s">
        <v>471</v>
      </c>
      <c r="F99" s="381" t="s">
        <v>708</v>
      </c>
      <c r="G99" s="211" t="str">
        <f>IFERROR(VLOOKUP(F99,[1]Реестр!A:K,2,0),"")</f>
        <v/>
      </c>
      <c r="H99" s="264" t="s">
        <v>735</v>
      </c>
      <c r="I99" s="452"/>
      <c r="K99" s="208"/>
    </row>
    <row r="100" spans="1:12" ht="18.75" x14ac:dyDescent="0.3">
      <c r="A100" s="464" t="s">
        <v>16</v>
      </c>
      <c r="B100" s="464"/>
      <c r="C100" s="464"/>
      <c r="D100" s="464"/>
      <c r="E100" s="464"/>
      <c r="F100" s="464"/>
      <c r="G100" s="205"/>
      <c r="H100" s="206"/>
      <c r="I100" s="207">
        <f>SUM(I95:I99)</f>
        <v>149.52000000000001</v>
      </c>
      <c r="K100" s="208"/>
    </row>
    <row r="101" spans="1:12" ht="18.75" x14ac:dyDescent="0.3">
      <c r="A101" s="462" t="s">
        <v>545</v>
      </c>
      <c r="B101" s="462"/>
      <c r="C101" s="462"/>
      <c r="D101" s="462"/>
      <c r="E101" s="462"/>
      <c r="F101" s="462"/>
      <c r="G101" s="462"/>
      <c r="H101" s="462"/>
      <c r="I101" s="462"/>
      <c r="J101" s="215">
        <v>85.2</v>
      </c>
      <c r="K101" s="208"/>
      <c r="L101" s="208">
        <f>J101-I101</f>
        <v>85.2</v>
      </c>
    </row>
    <row r="102" spans="1:12" ht="30" x14ac:dyDescent="0.25">
      <c r="A102" s="243">
        <v>17.96</v>
      </c>
      <c r="B102" s="243">
        <v>19.649999999999999</v>
      </c>
      <c r="C102" s="243">
        <v>1.04</v>
      </c>
      <c r="D102" s="243">
        <v>252.59813800000001</v>
      </c>
      <c r="E102" s="242" t="s">
        <v>740</v>
      </c>
      <c r="F102" s="242" t="s">
        <v>741</v>
      </c>
      <c r="G102" s="211" t="str">
        <f>IFERROR(VLOOKUP(F102,[1]Реестр!A:K,2,0),"")</f>
        <v>200</v>
      </c>
      <c r="H102" s="391">
        <v>150</v>
      </c>
      <c r="I102" s="450">
        <v>149.52000000000001</v>
      </c>
      <c r="K102" s="208"/>
    </row>
    <row r="103" spans="1:12" ht="18.75" customHeight="1" x14ac:dyDescent="0.25">
      <c r="A103" s="243">
        <v>0.18</v>
      </c>
      <c r="B103" s="243">
        <v>0.04</v>
      </c>
      <c r="C103" s="243">
        <v>13.75</v>
      </c>
      <c r="D103" s="243">
        <v>53.136642799999997</v>
      </c>
      <c r="E103" s="242" t="s">
        <v>742</v>
      </c>
      <c r="F103" s="242" t="s">
        <v>499</v>
      </c>
      <c r="G103" s="211" t="str">
        <f>IFERROR(VLOOKUP(F103,[1]Реестр!A:K,2,0),"")</f>
        <v>200</v>
      </c>
      <c r="H103" s="243" t="s">
        <v>118</v>
      </c>
      <c r="I103" s="451"/>
      <c r="K103" s="208"/>
    </row>
    <row r="104" spans="1:12" ht="18.75" x14ac:dyDescent="0.25">
      <c r="A104" s="241">
        <v>0.52</v>
      </c>
      <c r="B104" s="241">
        <v>0.52</v>
      </c>
      <c r="C104" s="241">
        <v>15.08</v>
      </c>
      <c r="D104" s="241">
        <v>63.283999999999985</v>
      </c>
      <c r="E104" s="242" t="s">
        <v>471</v>
      </c>
      <c r="F104" s="242" t="s">
        <v>708</v>
      </c>
      <c r="G104" s="211" t="str">
        <f>IFERROR(VLOOKUP(F104,[1]Реестр!A:K,2,0),"")</f>
        <v/>
      </c>
      <c r="H104" s="264" t="s">
        <v>735</v>
      </c>
      <c r="I104" s="451"/>
      <c r="K104" s="208"/>
    </row>
    <row r="105" spans="1:12" ht="18.75" x14ac:dyDescent="0.25">
      <c r="A105" s="241">
        <v>2.64</v>
      </c>
      <c r="B105" s="241">
        <v>0.48</v>
      </c>
      <c r="C105" s="241">
        <v>16.68</v>
      </c>
      <c r="D105" s="241">
        <v>77.352000000000004</v>
      </c>
      <c r="E105" s="242" t="s">
        <v>471</v>
      </c>
      <c r="F105" s="242" t="s">
        <v>715</v>
      </c>
      <c r="G105" s="211" t="str">
        <f>IFERROR(VLOOKUP(F105,[1]Реестр!A:K,2,0),"")</f>
        <v/>
      </c>
      <c r="H105" s="392">
        <v>40</v>
      </c>
      <c r="I105" s="451"/>
      <c r="K105" s="208"/>
    </row>
    <row r="106" spans="1:12" ht="18.75" x14ac:dyDescent="0.25">
      <c r="A106" s="241">
        <v>1.32</v>
      </c>
      <c r="B106" s="241">
        <v>0.24</v>
      </c>
      <c r="C106" s="241">
        <v>8.34</v>
      </c>
      <c r="D106" s="241">
        <v>38.676000000000002</v>
      </c>
      <c r="E106" s="381" t="str">
        <f>"-"</f>
        <v>-</v>
      </c>
      <c r="F106" s="381" t="s">
        <v>707</v>
      </c>
      <c r="G106" s="211" t="str">
        <f>IFERROR(VLOOKUP(F106,[1]Реестр!A:K,2,0),"")</f>
        <v/>
      </c>
      <c r="H106" s="264" t="str">
        <f>"20"</f>
        <v>20</v>
      </c>
      <c r="I106" s="451"/>
      <c r="K106" s="208"/>
    </row>
    <row r="107" spans="1:12" ht="18.75" x14ac:dyDescent="0.3">
      <c r="A107" s="209"/>
      <c r="B107" s="209"/>
      <c r="C107" s="209"/>
      <c r="D107" s="209"/>
      <c r="E107" s="210"/>
      <c r="F107" s="217"/>
      <c r="G107" s="211"/>
      <c r="H107" s="206"/>
      <c r="I107" s="452"/>
      <c r="K107" s="208"/>
    </row>
    <row r="108" spans="1:12" ht="18.75" x14ac:dyDescent="0.3">
      <c r="A108" s="464" t="s">
        <v>16</v>
      </c>
      <c r="B108" s="464"/>
      <c r="C108" s="464"/>
      <c r="D108" s="464"/>
      <c r="E108" s="464"/>
      <c r="F108" s="464"/>
      <c r="G108" s="205"/>
      <c r="H108" s="206"/>
      <c r="I108" s="207">
        <f>SUM(I102)</f>
        <v>149.52000000000001</v>
      </c>
      <c r="K108" s="208"/>
    </row>
    <row r="109" spans="1:12" ht="18.75" x14ac:dyDescent="0.3">
      <c r="A109" s="462" t="s">
        <v>566</v>
      </c>
      <c r="B109" s="462"/>
      <c r="C109" s="462"/>
      <c r="D109" s="462"/>
      <c r="E109" s="462"/>
      <c r="F109" s="462"/>
      <c r="G109" s="462"/>
      <c r="H109" s="462"/>
      <c r="I109" s="462"/>
      <c r="K109" s="208"/>
    </row>
    <row r="110" spans="1:12" ht="30" x14ac:dyDescent="0.25">
      <c r="A110" s="417">
        <v>0.7</v>
      </c>
      <c r="B110" s="243">
        <v>4.8099999999999996</v>
      </c>
      <c r="C110" s="243">
        <v>1.6</v>
      </c>
      <c r="D110" s="243">
        <v>57.718236800000007</v>
      </c>
      <c r="E110" s="242" t="str">
        <f>"7/13/1"</f>
        <v>7/13/1</v>
      </c>
      <c r="F110" s="242" t="s">
        <v>736</v>
      </c>
      <c r="G110" s="211" t="str">
        <f>IFERROR(VLOOKUP(F110,[2]Реестр!A:K,2,0),"")</f>
        <v/>
      </c>
      <c r="H110" s="263" t="s">
        <v>81</v>
      </c>
      <c r="I110" s="450">
        <v>224.27</v>
      </c>
      <c r="K110" s="208"/>
    </row>
    <row r="111" spans="1:12" ht="18.75" x14ac:dyDescent="0.25">
      <c r="A111" s="263">
        <v>4.1100000000000003</v>
      </c>
      <c r="B111" s="263">
        <v>4.7699999999999996</v>
      </c>
      <c r="C111" s="263">
        <v>39.56</v>
      </c>
      <c r="D111" s="263">
        <v>235.36</v>
      </c>
      <c r="E111" s="242" t="s">
        <v>711</v>
      </c>
      <c r="F111" s="242" t="s">
        <v>737</v>
      </c>
      <c r="G111" s="211" t="str">
        <f>IFERROR(VLOOKUP(F111,[2]Реестр!A:K,2,0),"")</f>
        <v/>
      </c>
      <c r="H111" s="243" t="str">
        <f>"250"</f>
        <v>250</v>
      </c>
      <c r="I111" s="451"/>
      <c r="K111" s="208"/>
    </row>
    <row r="112" spans="1:12" ht="18.75" x14ac:dyDescent="0.25">
      <c r="A112" s="263">
        <v>15.55</v>
      </c>
      <c r="B112" s="263">
        <v>15.9</v>
      </c>
      <c r="C112" s="263">
        <v>90.5</v>
      </c>
      <c r="D112" s="263">
        <v>408.6</v>
      </c>
      <c r="E112" s="242" t="s">
        <v>712</v>
      </c>
      <c r="F112" s="242" t="s">
        <v>713</v>
      </c>
      <c r="G112" s="211"/>
      <c r="H112" s="266">
        <v>200</v>
      </c>
      <c r="I112" s="451"/>
      <c r="K112" s="208"/>
    </row>
    <row r="113" spans="1:11" ht="18.75" x14ac:dyDescent="0.25">
      <c r="A113" s="263">
        <v>0.18</v>
      </c>
      <c r="B113" s="263">
        <v>0.05</v>
      </c>
      <c r="C113" s="263">
        <v>9.6300000000000008</v>
      </c>
      <c r="D113" s="263">
        <v>37.582527999999996</v>
      </c>
      <c r="E113" s="242" t="s">
        <v>738</v>
      </c>
      <c r="F113" s="242" t="s">
        <v>739</v>
      </c>
      <c r="G113" s="211"/>
      <c r="H113" s="263" t="s">
        <v>118</v>
      </c>
      <c r="I113" s="451"/>
      <c r="K113" s="208"/>
    </row>
    <row r="114" spans="1:11" ht="18.75" customHeight="1" x14ac:dyDescent="0.25">
      <c r="A114" s="241">
        <v>3.3</v>
      </c>
      <c r="B114" s="241">
        <v>0.6</v>
      </c>
      <c r="C114" s="241">
        <v>20.85</v>
      </c>
      <c r="D114" s="241">
        <v>96.69</v>
      </c>
      <c r="E114" s="242" t="str">
        <f>"-"</f>
        <v>-</v>
      </c>
      <c r="F114" s="242" t="s">
        <v>715</v>
      </c>
      <c r="G114" s="211"/>
      <c r="H114" s="264" t="str">
        <f>"40"</f>
        <v>40</v>
      </c>
      <c r="I114" s="451"/>
      <c r="K114" s="208"/>
    </row>
    <row r="115" spans="1:11" ht="18.75" x14ac:dyDescent="0.25">
      <c r="A115" s="264">
        <v>2.64</v>
      </c>
      <c r="B115" s="264">
        <v>0.48</v>
      </c>
      <c r="C115" s="264">
        <v>16.68</v>
      </c>
      <c r="D115" s="264">
        <v>77.352000000000004</v>
      </c>
      <c r="E115" s="381" t="str">
        <f>"-"</f>
        <v>-</v>
      </c>
      <c r="F115" s="381" t="s">
        <v>707</v>
      </c>
      <c r="G115" s="211" t="str">
        <f>IFERROR(VLOOKUP(F115,[2]Реестр!A:K,2,0),"")</f>
        <v/>
      </c>
      <c r="H115" s="264" t="str">
        <f>"40"</f>
        <v>40</v>
      </c>
      <c r="I115" s="451"/>
      <c r="K115" s="208"/>
    </row>
    <row r="116" spans="1:11" ht="18.75" x14ac:dyDescent="0.25">
      <c r="A116" s="241"/>
      <c r="B116" s="241"/>
      <c r="C116" s="241"/>
      <c r="D116" s="241"/>
      <c r="E116" s="265"/>
      <c r="F116" s="217"/>
      <c r="G116" s="211"/>
      <c r="H116" s="269"/>
      <c r="I116" s="451"/>
      <c r="K116" s="208"/>
    </row>
    <row r="117" spans="1:11" ht="18.75" x14ac:dyDescent="0.3">
      <c r="A117" s="464" t="s">
        <v>16</v>
      </c>
      <c r="B117" s="464"/>
      <c r="C117" s="464"/>
      <c r="D117" s="464"/>
      <c r="E117" s="464"/>
      <c r="F117" s="464"/>
      <c r="G117" s="205"/>
      <c r="H117" s="206"/>
      <c r="I117" s="207">
        <f>SUM(I110:I116)</f>
        <v>224.27</v>
      </c>
      <c r="K117" s="208"/>
    </row>
    <row r="118" spans="1:11" ht="18.75" x14ac:dyDescent="0.3">
      <c r="A118" s="462" t="s">
        <v>550</v>
      </c>
      <c r="B118" s="462"/>
      <c r="C118" s="462"/>
      <c r="D118" s="462"/>
      <c r="E118" s="462"/>
      <c r="F118" s="462"/>
      <c r="G118" s="462"/>
      <c r="H118" s="462"/>
      <c r="I118" s="462"/>
      <c r="K118" s="208"/>
    </row>
    <row r="119" spans="1:11" ht="30" x14ac:dyDescent="0.25">
      <c r="A119" s="417">
        <v>1.33</v>
      </c>
      <c r="B119" s="243">
        <v>5.12</v>
      </c>
      <c r="C119" s="243">
        <v>7.75</v>
      </c>
      <c r="D119" s="243">
        <v>73.52</v>
      </c>
      <c r="E119" s="242" t="s">
        <v>709</v>
      </c>
      <c r="F119" s="242" t="s">
        <v>710</v>
      </c>
      <c r="G119" s="211" t="str">
        <f>IFERROR(VLOOKUP(F119,[2]Реестр!A:K,2,0),"")</f>
        <v/>
      </c>
      <c r="H119" s="210">
        <v>80</v>
      </c>
      <c r="I119" s="450">
        <v>224.27</v>
      </c>
      <c r="K119" s="208"/>
    </row>
    <row r="120" spans="1:11" ht="18.75" x14ac:dyDescent="0.3">
      <c r="A120" s="263">
        <v>4.1100000000000003</v>
      </c>
      <c r="B120" s="263">
        <v>4.7699999999999996</v>
      </c>
      <c r="C120" s="263">
        <v>59.23</v>
      </c>
      <c r="D120" s="263">
        <v>143.13</v>
      </c>
      <c r="E120" s="242" t="str">
        <f>"6/65-1"</f>
        <v>6/65-1</v>
      </c>
      <c r="F120" s="242" t="s">
        <v>731</v>
      </c>
      <c r="G120" s="211" t="str">
        <f>IFERROR(VLOOKUP(F120,[2]Реестр!A:K,2,0),"")</f>
        <v/>
      </c>
      <c r="H120" s="206">
        <v>250</v>
      </c>
      <c r="I120" s="451"/>
      <c r="K120" s="208"/>
    </row>
    <row r="121" spans="1:11" ht="18.75" x14ac:dyDescent="0.3">
      <c r="A121" s="263">
        <v>15.55</v>
      </c>
      <c r="B121" s="263">
        <v>15.9</v>
      </c>
      <c r="C121" s="263">
        <v>90.5</v>
      </c>
      <c r="D121" s="263">
        <v>408.6</v>
      </c>
      <c r="E121" s="242" t="s">
        <v>712</v>
      </c>
      <c r="F121" s="242" t="s">
        <v>713</v>
      </c>
      <c r="G121" s="391">
        <v>200</v>
      </c>
      <c r="H121" s="206">
        <v>200</v>
      </c>
      <c r="I121" s="451"/>
      <c r="K121" s="208"/>
    </row>
    <row r="122" spans="1:11" ht="18.75" x14ac:dyDescent="0.3">
      <c r="A122" s="263">
        <v>0.18</v>
      </c>
      <c r="B122" s="263">
        <v>0.05</v>
      </c>
      <c r="C122" s="263">
        <v>0.32</v>
      </c>
      <c r="D122" s="263">
        <v>37.582527999999996</v>
      </c>
      <c r="E122" s="242" t="s">
        <v>714</v>
      </c>
      <c r="F122" s="242" t="s">
        <v>328</v>
      </c>
      <c r="G122" s="263" t="s">
        <v>118</v>
      </c>
      <c r="H122" s="206">
        <v>200</v>
      </c>
      <c r="I122" s="451"/>
      <c r="K122" s="208"/>
    </row>
    <row r="123" spans="1:11" ht="18.75" x14ac:dyDescent="0.3">
      <c r="A123" s="264">
        <v>2.64</v>
      </c>
      <c r="B123" s="264">
        <v>0.48</v>
      </c>
      <c r="C123" s="264">
        <v>16.68</v>
      </c>
      <c r="D123" s="264">
        <v>77.352000000000004</v>
      </c>
      <c r="E123" s="242" t="str">
        <f>"-"</f>
        <v>-</v>
      </c>
      <c r="F123" s="242" t="s">
        <v>715</v>
      </c>
      <c r="G123" s="392">
        <v>50</v>
      </c>
      <c r="H123" s="206">
        <v>40</v>
      </c>
      <c r="I123" s="451"/>
      <c r="K123" s="208"/>
    </row>
    <row r="124" spans="1:11" ht="18.75" x14ac:dyDescent="0.3">
      <c r="A124" s="264">
        <v>2.64</v>
      </c>
      <c r="B124" s="264">
        <v>0.48</v>
      </c>
      <c r="C124" s="264">
        <v>16.68</v>
      </c>
      <c r="D124" s="264">
        <v>77.352000000000004</v>
      </c>
      <c r="E124" s="381" t="str">
        <f>"-"</f>
        <v>-</v>
      </c>
      <c r="F124" s="381" t="s">
        <v>707</v>
      </c>
      <c r="G124" s="392">
        <v>30</v>
      </c>
      <c r="H124" s="206">
        <v>40</v>
      </c>
      <c r="I124" s="451"/>
      <c r="K124" s="208"/>
    </row>
    <row r="125" spans="1:11" ht="18.75" x14ac:dyDescent="0.25">
      <c r="A125" s="246"/>
      <c r="B125" s="246"/>
      <c r="C125" s="246"/>
      <c r="D125" s="246"/>
      <c r="E125" s="247"/>
      <c r="F125" s="204"/>
      <c r="G125" s="199"/>
      <c r="H125" s="246"/>
      <c r="I125" s="451"/>
      <c r="K125" s="208"/>
    </row>
    <row r="126" spans="1:11" ht="18.75" x14ac:dyDescent="0.3">
      <c r="A126" s="464" t="s">
        <v>16</v>
      </c>
      <c r="B126" s="464"/>
      <c r="C126" s="464"/>
      <c r="D126" s="464"/>
      <c r="E126" s="464"/>
      <c r="F126" s="464"/>
      <c r="G126" s="205"/>
      <c r="H126" s="206"/>
      <c r="I126" s="207">
        <f>SUM(I119)</f>
        <v>224.27</v>
      </c>
      <c r="K126" s="208"/>
    </row>
    <row r="127" spans="1:11" ht="18.75" hidden="1" x14ac:dyDescent="0.25">
      <c r="A127" s="484" t="s">
        <v>592</v>
      </c>
      <c r="B127" s="485"/>
      <c r="C127" s="485"/>
      <c r="D127" s="485"/>
      <c r="E127" s="485"/>
      <c r="F127" s="485"/>
      <c r="G127" s="485"/>
      <c r="H127" s="485"/>
      <c r="I127" s="486"/>
      <c r="K127" s="208"/>
    </row>
    <row r="128" spans="1:11" ht="18.75" hidden="1" x14ac:dyDescent="0.3">
      <c r="A128" s="263">
        <v>5.55</v>
      </c>
      <c r="B128" s="263">
        <v>7.8</v>
      </c>
      <c r="C128" s="263">
        <v>15.95</v>
      </c>
      <c r="D128" s="263">
        <v>199.78905478333331</v>
      </c>
      <c r="E128" s="350" t="str">
        <f>"6/70"</f>
        <v>6/70</v>
      </c>
      <c r="F128" s="350" t="s">
        <v>220</v>
      </c>
      <c r="G128" s="211" t="str">
        <f>IFERROR(VLOOKUP(F128,[2]Реестр!A:K,2,0),"")</f>
        <v>300</v>
      </c>
      <c r="H128" s="206">
        <v>250</v>
      </c>
      <c r="I128" s="207">
        <v>50</v>
      </c>
      <c r="K128" s="208"/>
    </row>
    <row r="129" spans="1:11" ht="18.75" hidden="1" x14ac:dyDescent="0.3">
      <c r="A129" s="263">
        <v>16.579999999999998</v>
      </c>
      <c r="B129" s="263">
        <v>19.5</v>
      </c>
      <c r="C129" s="263">
        <v>68.38</v>
      </c>
      <c r="D129" s="263">
        <v>327.07</v>
      </c>
      <c r="E129" s="349" t="str">
        <f>"8/35"</f>
        <v>8/35</v>
      </c>
      <c r="F129" s="349" t="s">
        <v>549</v>
      </c>
      <c r="G129" s="211" t="str">
        <f>IFERROR(VLOOKUP(F129,[2]Реестр!A:K,2,0),"")</f>
        <v/>
      </c>
      <c r="H129" s="206">
        <v>210</v>
      </c>
      <c r="I129" s="206">
        <v>118.3</v>
      </c>
      <c r="K129" s="208"/>
    </row>
    <row r="130" spans="1:11" ht="18.75" hidden="1" x14ac:dyDescent="0.3">
      <c r="A130" s="263">
        <v>0.14000000000000001</v>
      </c>
      <c r="B130" s="263">
        <v>0.1</v>
      </c>
      <c r="C130" s="263">
        <v>1.5</v>
      </c>
      <c r="D130" s="263">
        <v>83.962620000000015</v>
      </c>
      <c r="E130" s="349" t="str">
        <f>"11/1"</f>
        <v>11/1</v>
      </c>
      <c r="F130" s="349" t="s">
        <v>317</v>
      </c>
      <c r="G130" s="211">
        <f>IFERROR(VLOOKUP(F130,[2]Реестр!A:K,2,0),"")</f>
        <v>200</v>
      </c>
      <c r="H130" s="206">
        <v>200</v>
      </c>
      <c r="I130" s="207">
        <v>12.8</v>
      </c>
      <c r="K130" s="208"/>
    </row>
    <row r="131" spans="1:11" ht="18.75" hidden="1" x14ac:dyDescent="0.3">
      <c r="A131" s="209">
        <v>2.64</v>
      </c>
      <c r="B131" s="209">
        <v>0.24</v>
      </c>
      <c r="C131" s="209">
        <v>18.72</v>
      </c>
      <c r="D131" s="209">
        <v>89.6</v>
      </c>
      <c r="E131" s="210" t="s">
        <v>471</v>
      </c>
      <c r="F131" s="217" t="s">
        <v>66</v>
      </c>
      <c r="G131" s="211" t="str">
        <f>IFERROR(VLOOKUP(F131,[2]Реестр!A:K,2,0),"")</f>
        <v>100</v>
      </c>
      <c r="H131" s="206">
        <v>25</v>
      </c>
      <c r="I131" s="207">
        <v>2.1</v>
      </c>
      <c r="K131" s="208"/>
    </row>
    <row r="132" spans="1:11" ht="18.75" hidden="1" x14ac:dyDescent="0.3">
      <c r="A132" s="209">
        <v>2.97</v>
      </c>
      <c r="B132" s="209">
        <v>0.54</v>
      </c>
      <c r="C132" s="209">
        <v>15.03</v>
      </c>
      <c r="D132" s="209">
        <v>86.85</v>
      </c>
      <c r="E132" s="210" t="s">
        <v>471</v>
      </c>
      <c r="F132" s="217" t="s">
        <v>65</v>
      </c>
      <c r="G132" s="211" t="str">
        <f>IFERROR(VLOOKUP(F132,[2]Реестр!A:K,2,0),"")</f>
        <v>100</v>
      </c>
      <c r="H132" s="206">
        <v>20</v>
      </c>
      <c r="I132" s="207">
        <v>1.8</v>
      </c>
      <c r="K132" s="208"/>
    </row>
    <row r="133" spans="1:11" ht="18.75" hidden="1" x14ac:dyDescent="0.3">
      <c r="A133" s="219">
        <v>7.7</v>
      </c>
      <c r="B133" s="219">
        <v>7.42</v>
      </c>
      <c r="C133" s="219">
        <v>32.090000000000003</v>
      </c>
      <c r="D133" s="219">
        <v>225.88</v>
      </c>
      <c r="E133" s="261" t="s">
        <v>408</v>
      </c>
      <c r="F133" s="395" t="s">
        <v>529</v>
      </c>
      <c r="G133" s="211">
        <f>IFERROR(VLOOKUP(F133,[2]Реестр!A:K,2,0),"")</f>
        <v>100</v>
      </c>
      <c r="H133" s="206">
        <v>100</v>
      </c>
      <c r="I133" s="207">
        <v>50</v>
      </c>
      <c r="K133" s="208"/>
    </row>
    <row r="134" spans="1:11" ht="18.75" hidden="1" x14ac:dyDescent="0.3">
      <c r="A134" s="219"/>
      <c r="B134" s="219"/>
      <c r="C134" s="219"/>
      <c r="D134" s="219"/>
      <c r="E134" s="210"/>
      <c r="F134" s="398"/>
      <c r="G134" s="220"/>
      <c r="H134" s="221"/>
      <c r="I134" s="399"/>
      <c r="K134" s="208"/>
    </row>
    <row r="135" spans="1:11" ht="18.75" hidden="1" x14ac:dyDescent="0.3">
      <c r="A135" s="219"/>
      <c r="B135" s="219"/>
      <c r="C135" s="219"/>
      <c r="D135" s="219"/>
      <c r="E135" s="210"/>
      <c r="F135" s="398"/>
      <c r="G135" s="220"/>
      <c r="H135" s="221"/>
      <c r="I135" s="399"/>
      <c r="K135" s="208"/>
    </row>
    <row r="136" spans="1:11" ht="18.75" hidden="1" x14ac:dyDescent="0.3">
      <c r="A136" s="464" t="s">
        <v>16</v>
      </c>
      <c r="B136" s="464"/>
      <c r="C136" s="464"/>
      <c r="D136" s="464"/>
      <c r="E136" s="464"/>
      <c r="F136" s="464"/>
      <c r="G136" s="205"/>
      <c r="H136" s="206"/>
      <c r="I136" s="207">
        <f>SUM(I128:I135)</f>
        <v>235.00000000000003</v>
      </c>
      <c r="J136" s="215">
        <v>188</v>
      </c>
      <c r="K136" s="208"/>
    </row>
    <row r="137" spans="1:11" ht="18.75" x14ac:dyDescent="0.3">
      <c r="A137" s="481" t="s">
        <v>677</v>
      </c>
      <c r="B137" s="482"/>
      <c r="C137" s="482"/>
      <c r="D137" s="482"/>
      <c r="E137" s="482"/>
      <c r="F137" s="482"/>
      <c r="G137" s="482"/>
      <c r="H137" s="482"/>
      <c r="I137" s="483"/>
      <c r="K137" s="208"/>
    </row>
    <row r="138" spans="1:11" ht="18.75" x14ac:dyDescent="0.3">
      <c r="A138" s="263">
        <v>5.55</v>
      </c>
      <c r="B138" s="263">
        <v>7.8</v>
      </c>
      <c r="C138" s="263">
        <v>15.95</v>
      </c>
      <c r="D138" s="263">
        <v>199.78905478333331</v>
      </c>
      <c r="E138" s="242" t="s">
        <v>711</v>
      </c>
      <c r="F138" s="242" t="s">
        <v>716</v>
      </c>
      <c r="G138" s="206">
        <v>200</v>
      </c>
      <c r="H138" s="206">
        <v>200</v>
      </c>
      <c r="I138" s="450">
        <v>130.88</v>
      </c>
      <c r="K138" s="208"/>
    </row>
    <row r="139" spans="1:11" ht="18.75" x14ac:dyDescent="0.3">
      <c r="A139" s="263">
        <v>16.579999999999998</v>
      </c>
      <c r="B139" s="263">
        <v>19.5</v>
      </c>
      <c r="C139" s="263">
        <v>68.38</v>
      </c>
      <c r="D139" s="263">
        <v>327.07</v>
      </c>
      <c r="E139" s="242" t="s">
        <v>712</v>
      </c>
      <c r="F139" s="242" t="s">
        <v>713</v>
      </c>
      <c r="G139" s="206">
        <v>200</v>
      </c>
      <c r="H139" s="206">
        <v>200</v>
      </c>
      <c r="I139" s="451"/>
      <c r="K139" s="208"/>
    </row>
    <row r="140" spans="1:11" ht="18.75" x14ac:dyDescent="0.3">
      <c r="A140" s="263">
        <v>0.14000000000000001</v>
      </c>
      <c r="B140" s="263">
        <v>0.1</v>
      </c>
      <c r="C140" s="263">
        <v>1.5</v>
      </c>
      <c r="D140" s="263">
        <v>83.962620000000015</v>
      </c>
      <c r="E140" s="242" t="s">
        <v>714</v>
      </c>
      <c r="F140" s="242" t="s">
        <v>328</v>
      </c>
      <c r="G140" s="206">
        <v>200</v>
      </c>
      <c r="H140" s="206">
        <v>200</v>
      </c>
      <c r="I140" s="451"/>
      <c r="K140" s="208"/>
    </row>
    <row r="141" spans="1:11" ht="18.75" x14ac:dyDescent="0.3">
      <c r="A141" s="209">
        <v>2.64</v>
      </c>
      <c r="B141" s="209">
        <v>0.24</v>
      </c>
      <c r="C141" s="209">
        <v>18.72</v>
      </c>
      <c r="D141" s="209">
        <v>89.6</v>
      </c>
      <c r="E141" s="405" t="s">
        <v>471</v>
      </c>
      <c r="F141" s="408" t="s">
        <v>66</v>
      </c>
      <c r="G141" s="206">
        <v>40</v>
      </c>
      <c r="H141" s="206">
        <v>40</v>
      </c>
      <c r="I141" s="451"/>
      <c r="K141" s="208"/>
    </row>
    <row r="142" spans="1:11" ht="18.75" x14ac:dyDescent="0.3">
      <c r="A142" s="209">
        <v>2.64</v>
      </c>
      <c r="B142" s="209">
        <v>0.48</v>
      </c>
      <c r="C142" s="209">
        <v>13.36</v>
      </c>
      <c r="D142" s="209">
        <v>77.2</v>
      </c>
      <c r="E142" s="405" t="s">
        <v>471</v>
      </c>
      <c r="F142" s="408" t="s">
        <v>65</v>
      </c>
      <c r="G142" s="206">
        <v>40</v>
      </c>
      <c r="H142" s="206">
        <v>40</v>
      </c>
      <c r="I142" s="452"/>
      <c r="K142" s="208"/>
    </row>
    <row r="143" spans="1:11" ht="18.75" x14ac:dyDescent="0.3">
      <c r="A143" s="453" t="s">
        <v>16</v>
      </c>
      <c r="B143" s="454"/>
      <c r="C143" s="454"/>
      <c r="D143" s="454"/>
      <c r="E143" s="454"/>
      <c r="F143" s="455"/>
      <c r="G143" s="205"/>
      <c r="H143" s="206"/>
      <c r="I143" s="207">
        <f>SUM(I138:I142)</f>
        <v>130.88</v>
      </c>
      <c r="K143" s="208"/>
    </row>
    <row r="145" spans="2:11" s="215" customFormat="1" ht="18.75" x14ac:dyDescent="0.3">
      <c r="B145" s="252"/>
      <c r="C145" s="253"/>
      <c r="D145" s="253"/>
      <c r="E145" s="253"/>
      <c r="F145" s="254" t="s">
        <v>37</v>
      </c>
      <c r="G145" s="270"/>
      <c r="H145" s="257"/>
      <c r="I145" s="260"/>
      <c r="K145" s="202"/>
    </row>
    <row r="146" spans="2:11" s="215" customFormat="1" ht="18.75" x14ac:dyDescent="0.3">
      <c r="B146" s="252"/>
      <c r="C146" s="253"/>
      <c r="D146" s="253"/>
      <c r="E146" s="253"/>
      <c r="F146" s="254"/>
      <c r="G146" s="270"/>
      <c r="H146" s="418"/>
      <c r="I146" s="260"/>
      <c r="K146" s="202"/>
    </row>
    <row r="147" spans="2:11" x14ac:dyDescent="0.25">
      <c r="H147" s="414" t="s">
        <v>699</v>
      </c>
    </row>
  </sheetData>
  <autoFilter ref="A4:I93" xr:uid="{00000000-0009-0000-0000-000005000000}"/>
  <mergeCells count="55">
    <mergeCell ref="A22:I22"/>
    <mergeCell ref="A29:F29"/>
    <mergeCell ref="A30:I30"/>
    <mergeCell ref="A1:B1"/>
    <mergeCell ref="H1:I1"/>
    <mergeCell ref="H2:I2"/>
    <mergeCell ref="A3:C3"/>
    <mergeCell ref="D3:E3"/>
    <mergeCell ref="H3:I3"/>
    <mergeCell ref="A21:F21"/>
    <mergeCell ref="A4:C4"/>
    <mergeCell ref="D4:D5"/>
    <mergeCell ref="E4:E5"/>
    <mergeCell ref="F4:F5"/>
    <mergeCell ref="I4:I5"/>
    <mergeCell ref="J4:J5"/>
    <mergeCell ref="A6:I6"/>
    <mergeCell ref="A12:F12"/>
    <mergeCell ref="A13:I13"/>
    <mergeCell ref="G4:G5"/>
    <mergeCell ref="H4:H5"/>
    <mergeCell ref="A38:F38"/>
    <mergeCell ref="A39:I39"/>
    <mergeCell ref="A84:F84"/>
    <mergeCell ref="A46:I46"/>
    <mergeCell ref="A54:F54"/>
    <mergeCell ref="A55:I55"/>
    <mergeCell ref="A56:I56"/>
    <mergeCell ref="A62:I62"/>
    <mergeCell ref="A70:F70"/>
    <mergeCell ref="A71:I71"/>
    <mergeCell ref="A78:F78"/>
    <mergeCell ref="A79:I79"/>
    <mergeCell ref="A81:F81"/>
    <mergeCell ref="A82:I82"/>
    <mergeCell ref="A40:I40"/>
    <mergeCell ref="A118:I118"/>
    <mergeCell ref="A85:I85"/>
    <mergeCell ref="A93:F93"/>
    <mergeCell ref="A94:I94"/>
    <mergeCell ref="I95:I99"/>
    <mergeCell ref="A100:F100"/>
    <mergeCell ref="A101:I101"/>
    <mergeCell ref="I102:I107"/>
    <mergeCell ref="A108:F108"/>
    <mergeCell ref="A109:I109"/>
    <mergeCell ref="I110:I116"/>
    <mergeCell ref="A117:F117"/>
    <mergeCell ref="A143:F143"/>
    <mergeCell ref="I119:I125"/>
    <mergeCell ref="A126:F126"/>
    <mergeCell ref="A127:I127"/>
    <mergeCell ref="A136:F136"/>
    <mergeCell ref="A137:I137"/>
    <mergeCell ref="I138:I142"/>
  </mergeCells>
  <printOptions horizontalCentered="1" verticalCentered="1"/>
  <pageMargins left="0.39370078740157483" right="0" top="0" bottom="0" header="0.51181102362204722" footer="0.51181102362204722"/>
  <pageSetup paperSize="9" scale="63" firstPageNumber="0" fitToHeight="2" orientation="portrait" r:id="rId1"/>
  <rowBreaks count="1" manualBreakCount="1">
    <brk id="54" max="8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CF8575E5-F3EF-428F-AC4D-CB3FCBE94902}">
          <x14:formula1>
            <xm:f>'\\10.54.90.100\Private\Общая\Соцпитание\Технологические карты (мои школьные)\Школьное питание\АИС\Меню на доски (формат PDF)\Октябрь 2022\11.10 н1д2\[11.10.xlsm]Реестр'!#REF!</xm:f>
          </x14:formula1>
          <x14:formula2>
            <xm:f>0</xm:f>
          </x14:formula2>
          <xm:sqref>F83 F128:F129 F32 F87 F110 F15 F138 F64 F48 F112 F119:F121</xm:sqref>
        </x14:dataValidation>
        <x14:dataValidation type="list" allowBlank="1" showInputMessage="1" showErrorMessage="1" xr:uid="{5FBF9A7B-0234-4FEF-9942-09C42154C232}">
          <x14:formula1>
            <xm:f>'\\10.54.90.100\Private\O:\Технологические карты (мои школьные)\Школьное питание\АИС\Меню на доски (формат PDF)\Сентябрь 2021\01.09 1н3д\[1.09.xlsm]Реестр'!#REF!</xm:f>
          </x14:formula1>
          <xm:sqref>F20 F125 F53 F37 F92 F69 F115</xm:sqref>
        </x14:dataValidation>
        <x14:dataValidation type="list" allowBlank="1" showInputMessage="1" showErrorMessage="1" xr:uid="{25F41D9D-A224-40E3-9731-FF2A173515D3}">
          <x14:formula1>
            <xm:f>'\\10.54.90.10\комфорт\Соцпитание\Технологические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F141 F7 F35 F130:F131 F26 F57 F67 F18 F113 F116 F41 F51 F75 F90 F95:F97 F107 F102:F104 F111 F122:F123</xm:sqref>
        </x14:dataValidation>
        <x14:dataValidation type="list" allowBlank="1" showInputMessage="1" showErrorMessage="1" xr:uid="{AC0EFC15-8888-40A7-9F4E-C7D0BD442702}">
          <x14:formula1>
            <xm:f>'\\10.54.90.100\Private\Общая\Соцпитание\Технологические карты (мои школьные)\Школьное питание\АИС\Меню на доски (формат PDF)\Октябрь 2022\14.10 н1д5\[14.10- 2.xlsm]Реестр'!#REF!</xm:f>
          </x14:formula1>
          <x14:formula2>
            <xm:f>0</xm:f>
          </x14:formula2>
          <xm:sqref>F133:F135 F80</xm:sqref>
        </x14:dataValidation>
        <x14:dataValidation type="list" allowBlank="1" showInputMessage="1" showErrorMessage="1" xr:uid="{00A00396-1BD4-4014-BCA2-14B1BE429D0D}">
          <x14:formula1>
            <xm:f>'\\10.54.90.10\комфорт\Соцпитание\Технологические карты (мои школьные)\Школьное питание\АИС\Меню на доски (формат PDF)\Январь 2022\12.01 н1д3\[3.xlsm]Реестр'!#REF!</xm:f>
          </x14:formula1>
          <xm:sqref>F44 F105:F106 F76:F77 F91 F68 F142 F10 F36 F19 F27:F28 F60 F52 F98:F99 F132 F124</xm:sqref>
        </x14:dataValidation>
        <x14:dataValidation type="list" allowBlank="1" showInputMessage="1" showErrorMessage="1" xr:uid="{6C737EED-D7E4-434E-8008-1897123E8F9C}">
          <x14:formula1>
            <xm:f>'O:\Технологические карты (мои школьные)\Школьное питание\АИС\Меню на доски (формат PDF)\Сентябрь 2021\01.09 1н3д\[1.09.xlsm]Реестр'!#REF!</xm:f>
          </x14:formula1>
          <xm:sqref>F44 F105:F106 F76:F77 F60 F68 F10 F36 F19 F142 F27:F28 F52 F91 F98:F99 F132 F124</xm:sqref>
        </x14:dataValidation>
        <x14:dataValidation type="list" allowBlank="1" showInputMessage="1" showErrorMessage="1" xr:uid="{CD6B2334-FCFC-4E02-B548-E8F84EE29F08}">
          <x14:formula1>
            <xm:f>'\\10.54.90.100\Private\10.54.90.10\комфорт\Соцпитание\Технологические карты (мои школьные)\Школьное питание\АИС\Меню на доски (формат PDF)\Январь 2022\11.01 н1д2\[ка.xlsm]Реестр'!#REF!</xm:f>
          </x14:formula1>
          <x14:formula2>
            <xm:f>0</xm:f>
          </x14:formula2>
          <xm:sqref>F114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27"/>
  <dimension ref="A1:AMK253"/>
  <sheetViews>
    <sheetView topLeftCell="A241" zoomScaleNormal="100" workbookViewId="0">
      <selection activeCell="C242" sqref="C242:F242"/>
    </sheetView>
  </sheetViews>
  <sheetFormatPr defaultRowHeight="15.75" x14ac:dyDescent="0.25"/>
  <cols>
    <col min="1" max="1" width="56.5703125" style="48" customWidth="1"/>
    <col min="2" max="2" width="11.42578125" style="49"/>
    <col min="3" max="3" width="10.85546875" style="48" customWidth="1"/>
    <col min="4" max="4" width="11.140625" style="48" customWidth="1"/>
    <col min="5" max="5" width="14.7109375" style="48" customWidth="1"/>
    <col min="6" max="6" width="17.85546875" style="48" customWidth="1"/>
    <col min="7" max="7" width="9.140625" style="48" customWidth="1"/>
    <col min="8" max="8" width="9.5703125" style="48" customWidth="1"/>
    <col min="9" max="10" width="9.140625" style="48" customWidth="1"/>
    <col min="11" max="11" width="14.28515625" style="48" customWidth="1"/>
    <col min="12" max="1025" width="9.140625" style="48" customWidth="1"/>
  </cols>
  <sheetData>
    <row r="1" spans="1:11" ht="33" customHeight="1" x14ac:dyDescent="0.25">
      <c r="A1" s="50" t="s">
        <v>70</v>
      </c>
      <c r="B1" s="51" t="s">
        <v>9</v>
      </c>
      <c r="C1" s="50" t="s">
        <v>71</v>
      </c>
      <c r="D1" s="50" t="s">
        <v>72</v>
      </c>
      <c r="E1" s="50" t="s">
        <v>73</v>
      </c>
      <c r="F1" s="50" t="s">
        <v>74</v>
      </c>
      <c r="G1" s="50" t="s">
        <v>75</v>
      </c>
      <c r="H1" s="50" t="s">
        <v>76</v>
      </c>
      <c r="I1" s="52" t="s">
        <v>77</v>
      </c>
      <c r="J1" s="2" t="s">
        <v>78</v>
      </c>
      <c r="K1" s="53" t="s">
        <v>79</v>
      </c>
    </row>
    <row r="2" spans="1:11" x14ac:dyDescent="0.25">
      <c r="A2" s="2" t="s">
        <v>80</v>
      </c>
      <c r="B2" s="54" t="s">
        <v>81</v>
      </c>
      <c r="C2" s="55">
        <v>12.32</v>
      </c>
      <c r="D2" s="55">
        <v>12.12</v>
      </c>
      <c r="E2" s="55">
        <v>19.68</v>
      </c>
      <c r="F2" s="55">
        <v>237.08</v>
      </c>
      <c r="G2" s="55">
        <v>360</v>
      </c>
      <c r="H2" s="55">
        <v>19.600000000000001</v>
      </c>
      <c r="I2" s="55">
        <v>0.84</v>
      </c>
      <c r="J2" s="55">
        <v>0.28000000000000003</v>
      </c>
      <c r="K2" s="1" t="s">
        <v>82</v>
      </c>
    </row>
    <row r="3" spans="1:11" x14ac:dyDescent="0.25">
      <c r="A3" s="2" t="s">
        <v>83</v>
      </c>
      <c r="B3" s="54" t="s">
        <v>84</v>
      </c>
      <c r="C3" s="55">
        <v>5.3</v>
      </c>
      <c r="D3" s="55">
        <v>9.02</v>
      </c>
      <c r="E3" s="55">
        <v>8.34</v>
      </c>
      <c r="F3" s="55">
        <v>140.57</v>
      </c>
      <c r="G3" s="55">
        <v>180</v>
      </c>
      <c r="H3" s="55">
        <v>9.8000000000000007</v>
      </c>
      <c r="I3" s="55">
        <v>0.42</v>
      </c>
      <c r="J3" s="55">
        <v>0.14000000000000001</v>
      </c>
      <c r="K3" s="1" t="s">
        <v>85</v>
      </c>
    </row>
    <row r="4" spans="1:11" x14ac:dyDescent="0.25">
      <c r="A4" s="2" t="s">
        <v>86</v>
      </c>
      <c r="B4" s="54" t="s">
        <v>87</v>
      </c>
      <c r="C4" s="55">
        <v>3.76</v>
      </c>
      <c r="D4" s="55">
        <v>3.05</v>
      </c>
      <c r="E4" s="55">
        <v>9.64</v>
      </c>
      <c r="F4" s="55">
        <v>81.055800000000005</v>
      </c>
      <c r="G4" s="55">
        <v>90.16</v>
      </c>
      <c r="H4" s="55">
        <v>6.17</v>
      </c>
      <c r="I4" s="55">
        <v>0.31</v>
      </c>
      <c r="J4" s="55">
        <v>7.0000000000000007E-2</v>
      </c>
      <c r="K4" s="1" t="s">
        <v>88</v>
      </c>
    </row>
    <row r="5" spans="1:11" x14ac:dyDescent="0.25">
      <c r="A5" s="2" t="s">
        <v>89</v>
      </c>
      <c r="B5" s="54" t="s">
        <v>87</v>
      </c>
      <c r="C5" s="55">
        <v>1.3</v>
      </c>
      <c r="D5" s="55">
        <v>10.8</v>
      </c>
      <c r="E5" s="55">
        <v>8.1999999999999993</v>
      </c>
      <c r="F5" s="55">
        <v>135.19999999999999</v>
      </c>
      <c r="G5" s="55">
        <v>1.36</v>
      </c>
      <c r="H5" s="55">
        <v>4.66</v>
      </c>
      <c r="I5" s="55">
        <v>3.5999999999999997E-2</v>
      </c>
      <c r="J5" s="55">
        <v>4.3999999999999997E-2</v>
      </c>
      <c r="K5" s="1" t="s">
        <v>90</v>
      </c>
    </row>
    <row r="6" spans="1:11" x14ac:dyDescent="0.25">
      <c r="A6" s="2" t="s">
        <v>91</v>
      </c>
      <c r="B6" s="54" t="s">
        <v>92</v>
      </c>
      <c r="C6" s="55">
        <v>5.08</v>
      </c>
      <c r="D6" s="55">
        <v>11.55</v>
      </c>
      <c r="E6" s="55">
        <v>9.9700000000000006</v>
      </c>
      <c r="F6" s="55">
        <v>164.15</v>
      </c>
      <c r="G6" s="55">
        <v>135.6</v>
      </c>
      <c r="H6" s="55">
        <v>7.89</v>
      </c>
      <c r="I6" s="55">
        <v>0.38</v>
      </c>
      <c r="J6" s="55">
        <v>0.12</v>
      </c>
      <c r="K6" s="1" t="s">
        <v>93</v>
      </c>
    </row>
    <row r="7" spans="1:11" x14ac:dyDescent="0.25">
      <c r="A7" s="2" t="s">
        <v>94</v>
      </c>
      <c r="B7" s="54" t="s">
        <v>84</v>
      </c>
      <c r="C7" s="55">
        <v>1.65</v>
      </c>
      <c r="D7" s="55">
        <v>14.27</v>
      </c>
      <c r="E7" s="55">
        <v>9.9</v>
      </c>
      <c r="F7" s="55">
        <v>174.5968</v>
      </c>
      <c r="G7" s="55">
        <v>8.6199999999999992</v>
      </c>
      <c r="H7" s="55">
        <v>2.74</v>
      </c>
      <c r="I7" s="55">
        <v>0.25</v>
      </c>
      <c r="J7" s="55">
        <v>0.04</v>
      </c>
      <c r="K7" s="1" t="s">
        <v>95</v>
      </c>
    </row>
    <row r="8" spans="1:11" x14ac:dyDescent="0.25">
      <c r="A8" s="2" t="s">
        <v>96</v>
      </c>
      <c r="B8" s="54" t="s">
        <v>97</v>
      </c>
      <c r="C8" s="55">
        <v>0.01</v>
      </c>
      <c r="D8" s="55">
        <v>8.3000000000000007</v>
      </c>
      <c r="E8" s="55">
        <v>0.06</v>
      </c>
      <c r="F8" s="55">
        <v>77</v>
      </c>
      <c r="G8" s="55">
        <v>0</v>
      </c>
      <c r="H8" s="55">
        <v>0</v>
      </c>
      <c r="I8" s="55">
        <v>0</v>
      </c>
      <c r="J8" s="55">
        <v>0</v>
      </c>
      <c r="K8" s="1" t="s">
        <v>98</v>
      </c>
    </row>
    <row r="9" spans="1:11" x14ac:dyDescent="0.25">
      <c r="A9" s="2" t="s">
        <v>99</v>
      </c>
      <c r="B9" s="54" t="s">
        <v>97</v>
      </c>
      <c r="C9" s="55">
        <v>2.3199999999999998</v>
      </c>
      <c r="D9" s="55">
        <v>2.95</v>
      </c>
      <c r="E9" s="55">
        <v>0</v>
      </c>
      <c r="F9" s="55">
        <v>35.83</v>
      </c>
      <c r="G9" s="55">
        <v>88</v>
      </c>
      <c r="H9" s="55">
        <v>3.5</v>
      </c>
      <c r="I9" s="55">
        <v>0.1</v>
      </c>
      <c r="J9" s="55">
        <v>7.0000000000000007E-2</v>
      </c>
      <c r="K9" s="1" t="s">
        <v>100</v>
      </c>
    </row>
    <row r="10" spans="1:11" x14ac:dyDescent="0.25">
      <c r="A10" s="2" t="s">
        <v>101</v>
      </c>
      <c r="B10" s="54" t="s">
        <v>102</v>
      </c>
      <c r="C10" s="55">
        <v>5.08</v>
      </c>
      <c r="D10" s="55">
        <v>15.077299999999999</v>
      </c>
      <c r="E10" s="55">
        <v>9.9700000000000006</v>
      </c>
      <c r="F10" s="55">
        <v>195.89570000000001</v>
      </c>
      <c r="G10" s="55">
        <v>138.4</v>
      </c>
      <c r="H10" s="55">
        <v>7.89</v>
      </c>
      <c r="I10" s="55">
        <v>0.39</v>
      </c>
      <c r="J10" s="55">
        <v>0.13</v>
      </c>
      <c r="K10" s="1" t="s">
        <v>103</v>
      </c>
    </row>
    <row r="11" spans="1:11" x14ac:dyDescent="0.25">
      <c r="A11" s="2" t="s">
        <v>104</v>
      </c>
      <c r="B11" s="54" t="s">
        <v>84</v>
      </c>
      <c r="C11" s="55">
        <v>4.2300000000000004</v>
      </c>
      <c r="D11" s="55">
        <v>7.09</v>
      </c>
      <c r="E11" s="55">
        <v>7.43</v>
      </c>
      <c r="F11" s="55">
        <v>110.45</v>
      </c>
      <c r="G11" s="55">
        <v>0</v>
      </c>
      <c r="H11" s="55">
        <v>0</v>
      </c>
      <c r="I11" s="55">
        <v>0</v>
      </c>
      <c r="J11" s="55">
        <v>0</v>
      </c>
      <c r="K11" s="1" t="s">
        <v>105</v>
      </c>
    </row>
    <row r="12" spans="1:11" x14ac:dyDescent="0.25">
      <c r="A12" s="2" t="s">
        <v>106</v>
      </c>
      <c r="B12" s="54" t="s">
        <v>84</v>
      </c>
      <c r="C12" s="55">
        <v>3.84</v>
      </c>
      <c r="D12" s="55">
        <v>10.1</v>
      </c>
      <c r="E12" s="55">
        <v>9.77</v>
      </c>
      <c r="F12" s="55">
        <v>145.38300000000001</v>
      </c>
      <c r="G12" s="55">
        <v>92.51</v>
      </c>
      <c r="H12" s="55">
        <v>6.17</v>
      </c>
      <c r="I12" s="55">
        <v>0.33</v>
      </c>
      <c r="J12" s="55">
        <v>0.09</v>
      </c>
      <c r="K12" s="1" t="s">
        <v>107</v>
      </c>
    </row>
    <row r="13" spans="1:11" x14ac:dyDescent="0.25">
      <c r="A13" s="51" t="s">
        <v>527</v>
      </c>
      <c r="B13" s="51" t="s">
        <v>528</v>
      </c>
      <c r="C13" s="86">
        <v>3.8</v>
      </c>
      <c r="D13" s="86">
        <v>6.6</v>
      </c>
      <c r="E13" s="86">
        <v>9.6999999999999993</v>
      </c>
      <c r="F13" s="86">
        <v>116</v>
      </c>
      <c r="G13" s="86">
        <v>91.3</v>
      </c>
      <c r="H13" s="86">
        <v>6.2</v>
      </c>
      <c r="I13" s="86">
        <v>0.3</v>
      </c>
      <c r="J13" s="87">
        <v>0.1</v>
      </c>
      <c r="K13" s="85" t="s">
        <v>491</v>
      </c>
    </row>
    <row r="14" spans="1:11" x14ac:dyDescent="0.25">
      <c r="A14" s="2" t="s">
        <v>108</v>
      </c>
      <c r="B14" s="54" t="s">
        <v>109</v>
      </c>
      <c r="C14" s="55">
        <v>8.2992799999999995</v>
      </c>
      <c r="D14" s="55">
        <v>12.645</v>
      </c>
      <c r="E14" s="55">
        <v>39.234999999999999</v>
      </c>
      <c r="F14" s="55">
        <v>303.94211999999999</v>
      </c>
      <c r="G14" s="55">
        <v>142.30680000000001</v>
      </c>
      <c r="H14" s="55">
        <v>77.160600000000002</v>
      </c>
      <c r="I14" s="55">
        <v>1.90892</v>
      </c>
      <c r="J14" s="55">
        <v>1.27</v>
      </c>
      <c r="K14" s="1" t="s">
        <v>110</v>
      </c>
    </row>
    <row r="15" spans="1:11" x14ac:dyDescent="0.25">
      <c r="A15" s="2" t="s">
        <v>111</v>
      </c>
      <c r="B15" s="54" t="s">
        <v>109</v>
      </c>
      <c r="C15" s="55">
        <v>6.7</v>
      </c>
      <c r="D15" s="55">
        <v>10.1</v>
      </c>
      <c r="E15" s="55">
        <v>47.2</v>
      </c>
      <c r="F15" s="55">
        <v>309</v>
      </c>
      <c r="G15" s="55">
        <v>60.32</v>
      </c>
      <c r="H15" s="55">
        <v>18.87</v>
      </c>
      <c r="I15" s="55">
        <v>0.33</v>
      </c>
      <c r="J15" s="55">
        <v>0.25</v>
      </c>
      <c r="K15" s="1" t="s">
        <v>112</v>
      </c>
    </row>
    <row r="16" spans="1:11" x14ac:dyDescent="0.25">
      <c r="A16" s="2" t="s">
        <v>113</v>
      </c>
      <c r="B16" s="54" t="s">
        <v>109</v>
      </c>
      <c r="C16" s="55">
        <v>5.04</v>
      </c>
      <c r="D16" s="55">
        <v>8.61</v>
      </c>
      <c r="E16" s="55">
        <v>31.92</v>
      </c>
      <c r="F16" s="55">
        <v>233.1</v>
      </c>
      <c r="G16" s="55">
        <v>132.13</v>
      </c>
      <c r="H16" s="55">
        <v>23.66</v>
      </c>
      <c r="I16" s="55">
        <v>0.67</v>
      </c>
      <c r="J16" s="55">
        <v>1.32</v>
      </c>
      <c r="K16" s="1" t="s">
        <v>114</v>
      </c>
    </row>
    <row r="17" spans="1:11" x14ac:dyDescent="0.25">
      <c r="A17" s="2" t="s">
        <v>115</v>
      </c>
      <c r="B17" s="54" t="s">
        <v>109</v>
      </c>
      <c r="C17" s="55">
        <v>8.56</v>
      </c>
      <c r="D17" s="55">
        <v>11.4</v>
      </c>
      <c r="E17" s="55">
        <v>43.07</v>
      </c>
      <c r="F17" s="55">
        <v>309.10500999999999</v>
      </c>
      <c r="G17" s="55">
        <v>135.94</v>
      </c>
      <c r="H17" s="55">
        <v>59.05</v>
      </c>
      <c r="I17" s="55">
        <v>1.59</v>
      </c>
      <c r="J17" s="55">
        <v>1.32</v>
      </c>
      <c r="K17" s="1" t="s">
        <v>116</v>
      </c>
    </row>
    <row r="18" spans="1:11" x14ac:dyDescent="0.25">
      <c r="A18" s="2" t="s">
        <v>117</v>
      </c>
      <c r="B18" s="54" t="s">
        <v>118</v>
      </c>
      <c r="C18" s="55">
        <v>5.0999999999999996</v>
      </c>
      <c r="D18" s="55">
        <v>6.5</v>
      </c>
      <c r="E18" s="55">
        <v>24.7</v>
      </c>
      <c r="F18" s="55">
        <v>181</v>
      </c>
      <c r="G18" s="55">
        <v>115.1</v>
      </c>
      <c r="H18" s="55">
        <v>0</v>
      </c>
      <c r="I18" s="55">
        <v>0.9</v>
      </c>
      <c r="J18" s="55">
        <v>0.5</v>
      </c>
      <c r="K18" s="1" t="s">
        <v>119</v>
      </c>
    </row>
    <row r="19" spans="1:11" x14ac:dyDescent="0.25">
      <c r="A19" s="2" t="s">
        <v>120</v>
      </c>
      <c r="B19" s="54" t="s">
        <v>109</v>
      </c>
      <c r="C19" s="55">
        <v>6.2</v>
      </c>
      <c r="D19" s="55">
        <v>9.8000000000000007</v>
      </c>
      <c r="E19" s="55">
        <v>29</v>
      </c>
      <c r="F19" s="55">
        <v>229</v>
      </c>
      <c r="G19" s="55">
        <v>0</v>
      </c>
      <c r="H19" s="55">
        <v>0</v>
      </c>
      <c r="I19" s="55">
        <v>0</v>
      </c>
      <c r="J19" s="55">
        <v>0</v>
      </c>
      <c r="K19" s="1" t="s">
        <v>121</v>
      </c>
    </row>
    <row r="20" spans="1:11" x14ac:dyDescent="0.25">
      <c r="A20" s="2" t="s">
        <v>122</v>
      </c>
      <c r="B20" s="54" t="s">
        <v>118</v>
      </c>
      <c r="C20" s="55">
        <v>6</v>
      </c>
      <c r="D20" s="55">
        <v>5.3</v>
      </c>
      <c r="E20" s="55">
        <v>30.7</v>
      </c>
      <c r="F20" s="55">
        <v>195</v>
      </c>
      <c r="G20" s="55">
        <v>58.09</v>
      </c>
      <c r="H20" s="55">
        <v>13.65</v>
      </c>
      <c r="I20" s="55">
        <v>0.37</v>
      </c>
      <c r="J20" s="55">
        <v>0.21</v>
      </c>
      <c r="K20" s="1" t="s">
        <v>123</v>
      </c>
    </row>
    <row r="21" spans="1:11" x14ac:dyDescent="0.25">
      <c r="A21" s="2" t="s">
        <v>124</v>
      </c>
      <c r="B21" s="54" t="s">
        <v>118</v>
      </c>
      <c r="C21" s="55">
        <v>6.5</v>
      </c>
      <c r="D21" s="55">
        <v>6</v>
      </c>
      <c r="E21" s="55">
        <v>31.2</v>
      </c>
      <c r="F21" s="55">
        <v>206</v>
      </c>
      <c r="G21" s="55">
        <v>48.76</v>
      </c>
      <c r="H21" s="55">
        <v>19.39</v>
      </c>
      <c r="I21" s="55">
        <v>0.52</v>
      </c>
      <c r="J21" s="55">
        <v>0.21</v>
      </c>
      <c r="K21" s="1" t="s">
        <v>125</v>
      </c>
    </row>
    <row r="22" spans="1:11" x14ac:dyDescent="0.25">
      <c r="A22" s="2" t="s">
        <v>126</v>
      </c>
      <c r="B22" s="54" t="s">
        <v>118</v>
      </c>
      <c r="C22" s="55">
        <v>6</v>
      </c>
      <c r="D22" s="55">
        <v>9.4</v>
      </c>
      <c r="E22" s="55">
        <v>31</v>
      </c>
      <c r="F22" s="55">
        <v>240</v>
      </c>
      <c r="G22" s="55">
        <v>0</v>
      </c>
      <c r="H22" s="55">
        <v>0</v>
      </c>
      <c r="I22" s="55">
        <v>0</v>
      </c>
      <c r="J22" s="55">
        <v>0</v>
      </c>
      <c r="K22" s="1" t="s">
        <v>127</v>
      </c>
    </row>
    <row r="23" spans="1:11" x14ac:dyDescent="0.25">
      <c r="A23" s="2" t="s">
        <v>128</v>
      </c>
      <c r="B23" s="54" t="s">
        <v>129</v>
      </c>
      <c r="C23" s="55">
        <v>11.3</v>
      </c>
      <c r="D23" s="55">
        <v>12.2</v>
      </c>
      <c r="E23" s="55">
        <v>47.5</v>
      </c>
      <c r="F23" s="55">
        <v>345</v>
      </c>
      <c r="G23" s="55">
        <v>101.85</v>
      </c>
      <c r="H23" s="55">
        <v>26.15</v>
      </c>
      <c r="I23" s="55">
        <v>0.61</v>
      </c>
      <c r="J23" s="55">
        <v>0.42</v>
      </c>
      <c r="K23" s="1" t="s">
        <v>130</v>
      </c>
    </row>
    <row r="24" spans="1:11" x14ac:dyDescent="0.25">
      <c r="A24" s="2" t="s">
        <v>131</v>
      </c>
      <c r="B24" s="54" t="s">
        <v>129</v>
      </c>
      <c r="C24" s="55">
        <v>8.6999999999999993</v>
      </c>
      <c r="D24" s="55">
        <v>11.3</v>
      </c>
      <c r="E24" s="55">
        <v>43.5</v>
      </c>
      <c r="F24" s="55">
        <v>310</v>
      </c>
      <c r="G24" s="55">
        <v>102.59</v>
      </c>
      <c r="H24" s="55">
        <v>18.5</v>
      </c>
      <c r="I24" s="55">
        <v>0.25</v>
      </c>
      <c r="J24" s="55">
        <v>0.44</v>
      </c>
      <c r="K24" s="1" t="s">
        <v>132</v>
      </c>
    </row>
    <row r="25" spans="1:11" x14ac:dyDescent="0.25">
      <c r="A25" s="2" t="s">
        <v>614</v>
      </c>
      <c r="B25" s="54" t="s">
        <v>129</v>
      </c>
      <c r="C25" s="55">
        <v>10.6</v>
      </c>
      <c r="D25" s="55">
        <v>13.2</v>
      </c>
      <c r="E25" s="55">
        <v>39.200000000000003</v>
      </c>
      <c r="F25" s="55">
        <v>317</v>
      </c>
      <c r="G25" s="55">
        <v>108.96</v>
      </c>
      <c r="H25" s="55">
        <v>29.7</v>
      </c>
      <c r="I25" s="55">
        <v>0.63</v>
      </c>
      <c r="J25" s="55">
        <v>0.44</v>
      </c>
      <c r="K25" s="1" t="s">
        <v>133</v>
      </c>
    </row>
    <row r="26" spans="1:11" x14ac:dyDescent="0.25">
      <c r="A26" s="2" t="s">
        <v>613</v>
      </c>
      <c r="B26" s="54" t="s">
        <v>129</v>
      </c>
      <c r="C26" s="55">
        <v>3.75</v>
      </c>
      <c r="D26" s="55">
        <v>10.25</v>
      </c>
      <c r="E26" s="55">
        <v>25</v>
      </c>
      <c r="F26" s="55">
        <v>215</v>
      </c>
      <c r="G26" s="55">
        <v>0</v>
      </c>
      <c r="H26" s="55">
        <v>0</v>
      </c>
      <c r="I26" s="55">
        <v>0</v>
      </c>
      <c r="J26" s="55">
        <v>0</v>
      </c>
      <c r="K26" s="1" t="s">
        <v>134</v>
      </c>
    </row>
    <row r="27" spans="1:11" x14ac:dyDescent="0.25">
      <c r="A27" s="2" t="s">
        <v>135</v>
      </c>
      <c r="B27" s="54" t="s">
        <v>129</v>
      </c>
      <c r="C27" s="55">
        <v>6.4</v>
      </c>
      <c r="D27" s="55">
        <v>11</v>
      </c>
      <c r="E27" s="55">
        <v>22</v>
      </c>
      <c r="F27" s="55">
        <v>209</v>
      </c>
      <c r="G27" s="55">
        <v>99.97</v>
      </c>
      <c r="H27" s="55">
        <v>12.54</v>
      </c>
      <c r="I27" s="55">
        <v>0.12</v>
      </c>
      <c r="J27" s="55">
        <v>1.99</v>
      </c>
      <c r="K27" s="1" t="s">
        <v>136</v>
      </c>
    </row>
    <row r="28" spans="1:11" x14ac:dyDescent="0.25">
      <c r="A28" s="79" t="s">
        <v>516</v>
      </c>
      <c r="B28" s="54" t="s">
        <v>118</v>
      </c>
      <c r="C28" s="55">
        <v>6</v>
      </c>
      <c r="D28" s="55">
        <v>9.4</v>
      </c>
      <c r="E28" s="55">
        <v>31</v>
      </c>
      <c r="F28" s="55">
        <v>240</v>
      </c>
      <c r="G28" s="55">
        <v>0</v>
      </c>
      <c r="H28" s="55">
        <v>0</v>
      </c>
      <c r="I28" s="55">
        <v>0</v>
      </c>
      <c r="J28" s="55">
        <v>0</v>
      </c>
      <c r="K28" s="78" t="s">
        <v>127</v>
      </c>
    </row>
    <row r="29" spans="1:11" x14ac:dyDescent="0.25">
      <c r="A29" s="2" t="s">
        <v>137</v>
      </c>
      <c r="B29" s="54" t="s">
        <v>138</v>
      </c>
      <c r="C29" s="55">
        <v>16.8</v>
      </c>
      <c r="D29" s="55">
        <v>10.8</v>
      </c>
      <c r="E29" s="55">
        <v>12.5</v>
      </c>
      <c r="F29" s="55">
        <v>217</v>
      </c>
      <c r="G29" s="55">
        <v>147.96</v>
      </c>
      <c r="H29" s="55">
        <v>23.89</v>
      </c>
      <c r="I29" s="55">
        <v>0.57999999999999996</v>
      </c>
      <c r="J29" s="55">
        <v>0.28000000000000003</v>
      </c>
      <c r="K29" s="1" t="s">
        <v>139</v>
      </c>
    </row>
    <row r="30" spans="1:11" x14ac:dyDescent="0.25">
      <c r="A30" s="2" t="s">
        <v>140</v>
      </c>
      <c r="B30" s="54" t="s">
        <v>138</v>
      </c>
      <c r="C30" s="55">
        <v>16.600000000000001</v>
      </c>
      <c r="D30" s="55">
        <v>10.5</v>
      </c>
      <c r="E30" s="55">
        <v>13</v>
      </c>
      <c r="F30" s="55">
        <v>215</v>
      </c>
      <c r="G30" s="55">
        <v>146.29</v>
      </c>
      <c r="H30" s="55">
        <v>21.22</v>
      </c>
      <c r="I30" s="55">
        <v>0.55000000000000004</v>
      </c>
      <c r="J30" s="55">
        <v>0.28000000000000003</v>
      </c>
      <c r="K30" s="1" t="s">
        <v>141</v>
      </c>
    </row>
    <row r="31" spans="1:11" x14ac:dyDescent="0.25">
      <c r="A31" s="2" t="s">
        <v>142</v>
      </c>
      <c r="B31" s="54" t="s">
        <v>138</v>
      </c>
      <c r="C31" s="55">
        <v>13.266666666666699</v>
      </c>
      <c r="D31" s="55">
        <v>11.4</v>
      </c>
      <c r="E31" s="55">
        <v>11.3333333333333</v>
      </c>
      <c r="F31" s="55">
        <v>204</v>
      </c>
      <c r="G31" s="55">
        <v>117.333333333333</v>
      </c>
      <c r="H31" s="55">
        <v>23.4</v>
      </c>
      <c r="I31" s="55">
        <v>0.53333333333333299</v>
      </c>
      <c r="J31" s="55">
        <v>0.375</v>
      </c>
      <c r="K31" s="1" t="s">
        <v>143</v>
      </c>
    </row>
    <row r="32" spans="1:11" x14ac:dyDescent="0.25">
      <c r="A32" s="2" t="s">
        <v>144</v>
      </c>
      <c r="B32" s="54" t="s">
        <v>118</v>
      </c>
      <c r="C32" s="55">
        <v>24.6</v>
      </c>
      <c r="D32" s="55">
        <v>19</v>
      </c>
      <c r="E32" s="55">
        <v>39.6</v>
      </c>
      <c r="F32" s="55">
        <v>358</v>
      </c>
      <c r="G32" s="55">
        <v>0</v>
      </c>
      <c r="H32" s="55">
        <v>0</v>
      </c>
      <c r="I32" s="55">
        <v>0</v>
      </c>
      <c r="J32" s="55">
        <v>0</v>
      </c>
      <c r="K32" s="1" t="s">
        <v>145</v>
      </c>
    </row>
    <row r="33" spans="1:11" x14ac:dyDescent="0.25">
      <c r="A33" s="2" t="s">
        <v>146</v>
      </c>
      <c r="B33" s="54" t="s">
        <v>147</v>
      </c>
      <c r="C33" s="55">
        <v>9.6</v>
      </c>
      <c r="D33" s="55">
        <v>9.3000000000000007</v>
      </c>
      <c r="E33" s="55">
        <v>20.100000000000001</v>
      </c>
      <c r="F33" s="55">
        <v>183</v>
      </c>
      <c r="G33" s="55">
        <v>0</v>
      </c>
      <c r="H33" s="55">
        <v>0</v>
      </c>
      <c r="I33" s="55">
        <v>0</v>
      </c>
      <c r="J33" s="55">
        <v>0</v>
      </c>
      <c r="K33" s="1" t="s">
        <v>148</v>
      </c>
    </row>
    <row r="34" spans="1:11" x14ac:dyDescent="0.25">
      <c r="A34" s="2" t="s">
        <v>149</v>
      </c>
      <c r="B34" s="54" t="s">
        <v>147</v>
      </c>
      <c r="C34" s="55">
        <v>14.733333333333301</v>
      </c>
      <c r="D34" s="55">
        <v>12.133333333333301</v>
      </c>
      <c r="E34" s="55">
        <v>13.733333333333301</v>
      </c>
      <c r="F34" s="55">
        <v>224</v>
      </c>
      <c r="G34" s="55">
        <v>90.593333333333305</v>
      </c>
      <c r="H34" s="55">
        <v>12.6533333333333</v>
      </c>
      <c r="I34" s="55">
        <v>0.413333333333333</v>
      </c>
      <c r="J34" s="55">
        <v>0.15333333333333299</v>
      </c>
      <c r="K34" s="1" t="s">
        <v>150</v>
      </c>
    </row>
    <row r="35" spans="1:11" x14ac:dyDescent="0.25">
      <c r="A35" s="2"/>
      <c r="B35" s="54"/>
      <c r="C35" s="55"/>
      <c r="D35" s="55"/>
      <c r="E35" s="55"/>
      <c r="F35" s="55"/>
      <c r="G35" s="55"/>
      <c r="H35" s="55"/>
      <c r="I35" s="55"/>
      <c r="J35" s="55"/>
      <c r="K35" s="1"/>
    </row>
    <row r="36" spans="1:11" x14ac:dyDescent="0.25">
      <c r="A36" s="2" t="s">
        <v>151</v>
      </c>
      <c r="B36" s="54" t="s">
        <v>152</v>
      </c>
      <c r="C36" s="55">
        <v>21.37</v>
      </c>
      <c r="D36" s="55">
        <v>27.09</v>
      </c>
      <c r="E36" s="55">
        <v>1.35</v>
      </c>
      <c r="F36" s="55">
        <v>334.70819999999998</v>
      </c>
      <c r="G36" s="55">
        <v>92.34</v>
      </c>
      <c r="H36" s="55">
        <v>18.79</v>
      </c>
      <c r="I36" s="55">
        <v>3.81</v>
      </c>
      <c r="J36" s="55">
        <v>3.81</v>
      </c>
      <c r="K36" s="1" t="s">
        <v>153</v>
      </c>
    </row>
    <row r="37" spans="1:11" x14ac:dyDescent="0.25">
      <c r="A37" s="2" t="s">
        <v>154</v>
      </c>
      <c r="B37" s="54" t="s">
        <v>118</v>
      </c>
      <c r="C37" s="55">
        <v>15.7</v>
      </c>
      <c r="D37" s="55">
        <v>12.866666666666699</v>
      </c>
      <c r="E37" s="55">
        <v>7.2666666666666702</v>
      </c>
      <c r="F37" s="55">
        <v>207.45</v>
      </c>
      <c r="G37" s="55">
        <v>125</v>
      </c>
      <c r="H37" s="55">
        <v>29.5</v>
      </c>
      <c r="I37" s="55">
        <v>2.9</v>
      </c>
      <c r="J37" s="55">
        <v>5.67</v>
      </c>
      <c r="K37" s="1" t="s">
        <v>155</v>
      </c>
    </row>
    <row r="38" spans="1:11" x14ac:dyDescent="0.25">
      <c r="A38" s="2" t="s">
        <v>156</v>
      </c>
      <c r="B38" s="54">
        <v>200</v>
      </c>
      <c r="C38" s="55">
        <v>21.45</v>
      </c>
      <c r="D38" s="55">
        <v>32.119999999999997</v>
      </c>
      <c r="E38" s="55">
        <v>3.7</v>
      </c>
      <c r="F38" s="55">
        <v>389.68</v>
      </c>
      <c r="G38" s="55">
        <v>138.13</v>
      </c>
      <c r="H38" s="55">
        <v>26.66</v>
      </c>
      <c r="I38" s="55">
        <v>3.63</v>
      </c>
      <c r="J38" s="55">
        <v>0.65</v>
      </c>
      <c r="K38" s="1" t="s">
        <v>157</v>
      </c>
    </row>
    <row r="39" spans="1:11" x14ac:dyDescent="0.25">
      <c r="A39" s="2" t="s">
        <v>158</v>
      </c>
      <c r="B39" s="54">
        <v>200</v>
      </c>
      <c r="C39" s="55">
        <v>21.15</v>
      </c>
      <c r="D39" s="55">
        <v>25.2</v>
      </c>
      <c r="E39" s="55">
        <v>2.97</v>
      </c>
      <c r="F39" s="55">
        <v>324</v>
      </c>
      <c r="G39" s="55">
        <v>146.376</v>
      </c>
      <c r="H39" s="55">
        <v>13.239000000000001</v>
      </c>
      <c r="I39" s="55">
        <v>1.5209999999999999</v>
      </c>
      <c r="J39" s="55">
        <v>0.189</v>
      </c>
      <c r="K39" s="1" t="s">
        <v>159</v>
      </c>
    </row>
    <row r="40" spans="1:11" x14ac:dyDescent="0.25">
      <c r="A40" s="2" t="s">
        <v>160</v>
      </c>
      <c r="B40" s="54" t="s">
        <v>118</v>
      </c>
      <c r="C40" s="55">
        <v>18.399999999999999</v>
      </c>
      <c r="D40" s="55">
        <v>27</v>
      </c>
      <c r="E40" s="55">
        <v>4.8</v>
      </c>
      <c r="F40" s="55">
        <v>335</v>
      </c>
      <c r="G40" s="55">
        <v>80.59</v>
      </c>
      <c r="H40" s="55">
        <v>12.5</v>
      </c>
      <c r="I40" s="55">
        <v>1.56</v>
      </c>
      <c r="J40" s="55">
        <v>0.27</v>
      </c>
      <c r="K40" s="1" t="s">
        <v>161</v>
      </c>
    </row>
    <row r="41" spans="1:11" x14ac:dyDescent="0.25">
      <c r="A41" s="2" t="s">
        <v>162</v>
      </c>
      <c r="B41" s="54" t="s">
        <v>84</v>
      </c>
      <c r="C41" s="55">
        <v>5.0999999999999996</v>
      </c>
      <c r="D41" s="55">
        <v>4.5999999999999996</v>
      </c>
      <c r="E41" s="55">
        <v>0.3</v>
      </c>
      <c r="F41" s="55">
        <v>63</v>
      </c>
      <c r="G41" s="55">
        <v>22</v>
      </c>
      <c r="H41" s="55">
        <v>4.8</v>
      </c>
      <c r="I41" s="55">
        <v>1</v>
      </c>
      <c r="J41" s="55">
        <v>0</v>
      </c>
      <c r="K41" s="1" t="s">
        <v>163</v>
      </c>
    </row>
    <row r="42" spans="1:11" x14ac:dyDescent="0.25">
      <c r="A42" s="2"/>
      <c r="B42" s="54"/>
      <c r="C42" s="55"/>
      <c r="D42" s="55"/>
      <c r="E42" s="55"/>
      <c r="F42" s="55"/>
      <c r="G42" s="55"/>
      <c r="H42" s="55"/>
      <c r="I42" s="55"/>
      <c r="J42" s="55"/>
      <c r="K42" s="1"/>
    </row>
    <row r="43" spans="1:11" x14ac:dyDescent="0.25">
      <c r="A43" s="2" t="s">
        <v>164</v>
      </c>
      <c r="B43" s="54" t="s">
        <v>138</v>
      </c>
      <c r="C43" s="55">
        <v>4.5999999999999996</v>
      </c>
      <c r="D43" s="55">
        <v>2.99444444444444</v>
      </c>
      <c r="E43" s="55">
        <v>26.016666666666701</v>
      </c>
      <c r="F43" s="55">
        <v>149.41579999999999</v>
      </c>
      <c r="G43" s="55">
        <v>8.62222222222222</v>
      </c>
      <c r="H43" s="55">
        <v>15.811111111111099</v>
      </c>
      <c r="I43" s="55">
        <v>0.38888888888888901</v>
      </c>
      <c r="J43" s="55">
        <v>0</v>
      </c>
      <c r="K43" s="1" t="s">
        <v>165</v>
      </c>
    </row>
    <row r="44" spans="1:11" x14ac:dyDescent="0.25">
      <c r="A44" s="2" t="s">
        <v>675</v>
      </c>
      <c r="B44" s="54" t="s">
        <v>138</v>
      </c>
      <c r="C44" s="55">
        <v>2.8</v>
      </c>
      <c r="D44" s="55">
        <v>2</v>
      </c>
      <c r="E44" s="55">
        <v>25</v>
      </c>
      <c r="F44" s="55">
        <v>129.19999999999999</v>
      </c>
      <c r="G44" s="55">
        <v>5.93</v>
      </c>
      <c r="H44" s="55">
        <v>14.63</v>
      </c>
      <c r="I44" s="55">
        <v>3.36</v>
      </c>
      <c r="J44" s="55">
        <v>1.19</v>
      </c>
      <c r="K44" s="1" t="s">
        <v>166</v>
      </c>
    </row>
    <row r="45" spans="1:11" x14ac:dyDescent="0.25">
      <c r="A45" s="2" t="s">
        <v>63</v>
      </c>
      <c r="B45" s="54" t="s">
        <v>138</v>
      </c>
      <c r="C45" s="55">
        <v>3.32</v>
      </c>
      <c r="D45" s="55">
        <v>2.2999999999999998</v>
      </c>
      <c r="E45" s="55">
        <v>28.37</v>
      </c>
      <c r="F45" s="55">
        <v>147.48493999999999</v>
      </c>
      <c r="G45" s="55">
        <v>5.55</v>
      </c>
      <c r="H45" s="55">
        <v>21.84</v>
      </c>
      <c r="I45" s="55">
        <v>0.81</v>
      </c>
      <c r="J45" s="55">
        <v>0.73</v>
      </c>
      <c r="K45" s="1" t="s">
        <v>167</v>
      </c>
    </row>
    <row r="46" spans="1:11" x14ac:dyDescent="0.25">
      <c r="A46" s="2" t="s">
        <v>168</v>
      </c>
      <c r="B46" s="54" t="s">
        <v>138</v>
      </c>
      <c r="C46" s="55">
        <v>1.64</v>
      </c>
      <c r="D46" s="55">
        <v>4.4800000000000004</v>
      </c>
      <c r="E46" s="55">
        <v>8.7200000000000006</v>
      </c>
      <c r="F46" s="55">
        <v>81.716663999999994</v>
      </c>
      <c r="G46" s="55">
        <v>23.55</v>
      </c>
      <c r="H46" s="55">
        <v>19.670000000000002</v>
      </c>
      <c r="I46" s="55">
        <v>0.56999999999999995</v>
      </c>
      <c r="J46" s="55">
        <v>2.74</v>
      </c>
      <c r="K46" s="1" t="s">
        <v>169</v>
      </c>
    </row>
    <row r="47" spans="1:11" x14ac:dyDescent="0.25">
      <c r="A47" s="2" t="s">
        <v>170</v>
      </c>
      <c r="B47" s="54" t="s">
        <v>138</v>
      </c>
      <c r="C47" s="55">
        <v>3.94</v>
      </c>
      <c r="D47" s="55">
        <v>4.8099999999999996</v>
      </c>
      <c r="E47" s="55">
        <v>11.25</v>
      </c>
      <c r="F47" s="55">
        <v>104.029794</v>
      </c>
      <c r="G47" s="55">
        <v>79.8</v>
      </c>
      <c r="H47" s="55">
        <v>21.07</v>
      </c>
      <c r="I47" s="55">
        <v>0.9</v>
      </c>
      <c r="J47" s="55">
        <v>3.68</v>
      </c>
      <c r="K47" s="1" t="s">
        <v>171</v>
      </c>
    </row>
    <row r="48" spans="1:11" x14ac:dyDescent="0.25">
      <c r="A48" s="2" t="s">
        <v>172</v>
      </c>
      <c r="B48" s="54" t="s">
        <v>138</v>
      </c>
      <c r="C48" s="55">
        <v>1.55</v>
      </c>
      <c r="D48" s="55">
        <v>0.92</v>
      </c>
      <c r="E48" s="55">
        <v>13.1</v>
      </c>
      <c r="F48" s="55">
        <v>66.941032000000007</v>
      </c>
      <c r="G48" s="55">
        <v>11.7</v>
      </c>
      <c r="H48" s="55">
        <v>18.59</v>
      </c>
      <c r="I48" s="55">
        <v>0.75</v>
      </c>
      <c r="J48" s="55">
        <v>8.1</v>
      </c>
      <c r="K48" s="1" t="s">
        <v>173</v>
      </c>
    </row>
    <row r="49" spans="1:11" x14ac:dyDescent="0.25">
      <c r="A49" s="2" t="s">
        <v>174</v>
      </c>
      <c r="B49" s="54" t="s">
        <v>138</v>
      </c>
      <c r="C49" s="55">
        <v>2.4</v>
      </c>
      <c r="D49" s="55">
        <v>3.7</v>
      </c>
      <c r="E49" s="55">
        <v>23.4</v>
      </c>
      <c r="F49" s="55">
        <v>138</v>
      </c>
      <c r="G49" s="55">
        <v>8.9</v>
      </c>
      <c r="H49" s="55">
        <v>17.739999999999998</v>
      </c>
      <c r="I49" s="55">
        <v>0.41</v>
      </c>
      <c r="J49" s="55">
        <v>0.31</v>
      </c>
      <c r="K49" s="1" t="s">
        <v>175</v>
      </c>
    </row>
    <row r="50" spans="1:11" x14ac:dyDescent="0.25">
      <c r="A50" s="2" t="s">
        <v>176</v>
      </c>
      <c r="B50" s="54" t="s">
        <v>138</v>
      </c>
      <c r="C50" s="55">
        <v>2.2200000000000002</v>
      </c>
      <c r="D50" s="55">
        <v>4.38</v>
      </c>
      <c r="E50" s="55">
        <v>16.97</v>
      </c>
      <c r="F50" s="55">
        <v>121.1</v>
      </c>
      <c r="G50" s="55">
        <v>11.1</v>
      </c>
      <c r="H50" s="55">
        <v>21.58</v>
      </c>
      <c r="I50" s="55">
        <v>0.85</v>
      </c>
      <c r="J50" s="55">
        <v>12.84</v>
      </c>
      <c r="K50" s="1" t="s">
        <v>177</v>
      </c>
    </row>
    <row r="51" spans="1:11" x14ac:dyDescent="0.25">
      <c r="A51" s="2" t="s">
        <v>178</v>
      </c>
      <c r="B51" s="54" t="s">
        <v>138</v>
      </c>
      <c r="C51" s="55">
        <v>1.99</v>
      </c>
      <c r="D51" s="55">
        <v>2.67</v>
      </c>
      <c r="E51" s="55">
        <v>15.05</v>
      </c>
      <c r="F51" s="55">
        <v>96.6</v>
      </c>
      <c r="G51" s="55">
        <v>12</v>
      </c>
      <c r="H51" s="55">
        <v>21.5</v>
      </c>
      <c r="I51" s="55">
        <v>0.86</v>
      </c>
      <c r="J51" s="55">
        <v>4.13</v>
      </c>
      <c r="K51" s="1" t="s">
        <v>179</v>
      </c>
    </row>
    <row r="52" spans="1:11" x14ac:dyDescent="0.25">
      <c r="A52" s="2" t="s">
        <v>180</v>
      </c>
      <c r="B52" s="54" t="s">
        <v>138</v>
      </c>
      <c r="C52" s="55">
        <v>5</v>
      </c>
      <c r="D52" s="55">
        <v>4.0999999999999996</v>
      </c>
      <c r="E52" s="55">
        <v>21.7</v>
      </c>
      <c r="F52" s="55">
        <v>146</v>
      </c>
      <c r="G52" s="55">
        <v>10.83</v>
      </c>
      <c r="H52" s="55">
        <v>76.13</v>
      </c>
      <c r="I52" s="55">
        <v>2.62</v>
      </c>
      <c r="J52" s="55">
        <v>0</v>
      </c>
      <c r="K52" s="1" t="s">
        <v>181</v>
      </c>
    </row>
    <row r="53" spans="1:11" x14ac:dyDescent="0.25">
      <c r="A53" s="2" t="s">
        <v>182</v>
      </c>
      <c r="B53" s="54" t="s">
        <v>138</v>
      </c>
      <c r="C53" s="55">
        <v>3.5</v>
      </c>
      <c r="D53" s="55">
        <v>2.7</v>
      </c>
      <c r="E53" s="55">
        <v>22.4</v>
      </c>
      <c r="F53" s="55">
        <v>131</v>
      </c>
      <c r="G53" s="55">
        <v>8.82</v>
      </c>
      <c r="H53" s="55">
        <v>5.27</v>
      </c>
      <c r="I53" s="55">
        <v>0.54</v>
      </c>
      <c r="J53" s="55">
        <v>0</v>
      </c>
      <c r="K53" s="1" t="s">
        <v>183</v>
      </c>
    </row>
    <row r="54" spans="1:11" x14ac:dyDescent="0.25">
      <c r="A54" s="2" t="s">
        <v>184</v>
      </c>
      <c r="B54" s="54" t="s">
        <v>138</v>
      </c>
      <c r="C54" s="55">
        <v>2.1</v>
      </c>
      <c r="D54" s="55">
        <v>6.6</v>
      </c>
      <c r="E54" s="55">
        <v>8.1999999999999993</v>
      </c>
      <c r="F54" s="55">
        <v>100</v>
      </c>
      <c r="G54" s="55">
        <v>61.077777777777797</v>
      </c>
      <c r="H54" s="55">
        <v>23.733333333333299</v>
      </c>
      <c r="I54" s="55">
        <v>0.6</v>
      </c>
      <c r="J54" s="55">
        <v>6.71</v>
      </c>
      <c r="K54" s="1" t="s">
        <v>185</v>
      </c>
    </row>
    <row r="55" spans="1:11" x14ac:dyDescent="0.25">
      <c r="A55" s="2" t="s">
        <v>186</v>
      </c>
      <c r="B55" s="54" t="s">
        <v>138</v>
      </c>
      <c r="C55" s="55">
        <v>2.46</v>
      </c>
      <c r="D55" s="55">
        <v>2.3199999999999998</v>
      </c>
      <c r="E55" s="55">
        <v>25.85</v>
      </c>
      <c r="F55" s="55">
        <v>134.19</v>
      </c>
      <c r="G55" s="55">
        <v>3.45</v>
      </c>
      <c r="H55" s="55">
        <v>17.440000000000001</v>
      </c>
      <c r="I55" s="55">
        <v>0.35</v>
      </c>
      <c r="J55" s="55">
        <v>0.01</v>
      </c>
      <c r="K55" s="1" t="s">
        <v>187</v>
      </c>
    </row>
    <row r="56" spans="1:11" x14ac:dyDescent="0.25">
      <c r="A56" s="2" t="s">
        <v>188</v>
      </c>
      <c r="B56" s="54" t="s">
        <v>138</v>
      </c>
      <c r="C56" s="55">
        <v>2.52</v>
      </c>
      <c r="D56" s="55">
        <v>2.65</v>
      </c>
      <c r="E56" s="55">
        <v>7.53</v>
      </c>
      <c r="F56" s="55">
        <v>69.5</v>
      </c>
      <c r="G56" s="55">
        <v>59.7</v>
      </c>
      <c r="H56" s="55">
        <v>24.6</v>
      </c>
      <c r="I56" s="55">
        <v>0.92</v>
      </c>
      <c r="J56" s="55">
        <v>18.600000000000001</v>
      </c>
      <c r="K56" s="1" t="s">
        <v>189</v>
      </c>
    </row>
    <row r="57" spans="1:11" x14ac:dyDescent="0.25">
      <c r="A57" s="2" t="s">
        <v>190</v>
      </c>
      <c r="B57" s="54" t="s">
        <v>138</v>
      </c>
      <c r="C57" s="55">
        <v>2.2000000000000002</v>
      </c>
      <c r="D57" s="55">
        <v>2.8</v>
      </c>
      <c r="E57" s="55">
        <v>14.1</v>
      </c>
      <c r="F57" s="55">
        <v>92</v>
      </c>
      <c r="G57" s="55">
        <v>31.02</v>
      </c>
      <c r="H57" s="55">
        <v>21.83</v>
      </c>
      <c r="I57" s="55">
        <v>0.8</v>
      </c>
      <c r="J57" s="55">
        <v>6.1</v>
      </c>
      <c r="K57" s="1" t="s">
        <v>191</v>
      </c>
    </row>
    <row r="58" spans="1:11" x14ac:dyDescent="0.25">
      <c r="A58" s="2" t="s">
        <v>192</v>
      </c>
      <c r="B58" s="54" t="s">
        <v>138</v>
      </c>
      <c r="C58" s="55">
        <v>4.45</v>
      </c>
      <c r="D58" s="55">
        <v>3.1</v>
      </c>
      <c r="E58" s="55">
        <v>18.5</v>
      </c>
      <c r="F58" s="55">
        <v>124</v>
      </c>
      <c r="G58" s="55">
        <v>51.05</v>
      </c>
      <c r="H58" s="55">
        <v>0</v>
      </c>
      <c r="I58" s="55">
        <v>0.45</v>
      </c>
      <c r="J58" s="55">
        <v>0</v>
      </c>
      <c r="K58" s="1" t="s">
        <v>193</v>
      </c>
    </row>
    <row r="59" spans="1:11" x14ac:dyDescent="0.25">
      <c r="A59" s="2" t="s">
        <v>194</v>
      </c>
      <c r="B59" s="54" t="s">
        <v>138</v>
      </c>
      <c r="C59" s="55">
        <v>1.85</v>
      </c>
      <c r="D59" s="55">
        <v>2.35</v>
      </c>
      <c r="E59" s="55">
        <v>10.9</v>
      </c>
      <c r="F59" s="55">
        <v>76</v>
      </c>
      <c r="G59" s="55">
        <v>56.8</v>
      </c>
      <c r="H59" s="55">
        <v>0</v>
      </c>
      <c r="I59" s="55">
        <v>1.4</v>
      </c>
      <c r="J59" s="55">
        <v>5.5</v>
      </c>
      <c r="K59" s="1" t="s">
        <v>195</v>
      </c>
    </row>
    <row r="60" spans="1:11" x14ac:dyDescent="0.25">
      <c r="A60" s="2" t="s">
        <v>196</v>
      </c>
      <c r="B60" s="54" t="s">
        <v>138</v>
      </c>
      <c r="C60" s="55">
        <v>3.25</v>
      </c>
      <c r="D60" s="55">
        <v>2.95</v>
      </c>
      <c r="E60" s="55">
        <v>21.5</v>
      </c>
      <c r="F60" s="55">
        <v>133.5</v>
      </c>
      <c r="G60" s="55">
        <v>24.95</v>
      </c>
      <c r="H60" s="55">
        <v>0</v>
      </c>
      <c r="I60" s="55">
        <v>0.8</v>
      </c>
      <c r="J60" s="55">
        <v>0.55000000000000004</v>
      </c>
      <c r="K60" s="1" t="s">
        <v>197</v>
      </c>
    </row>
    <row r="61" spans="1:11" x14ac:dyDescent="0.25">
      <c r="A61" s="2" t="s">
        <v>198</v>
      </c>
      <c r="B61" s="54" t="s">
        <v>138</v>
      </c>
      <c r="C61" s="55">
        <v>2.4</v>
      </c>
      <c r="D61" s="55">
        <v>3.5</v>
      </c>
      <c r="E61" s="55">
        <v>3.4</v>
      </c>
      <c r="F61" s="55">
        <v>54</v>
      </c>
      <c r="G61" s="55">
        <v>2.34</v>
      </c>
      <c r="H61" s="55">
        <v>1.53</v>
      </c>
      <c r="I61" s="55">
        <v>0.13</v>
      </c>
      <c r="J61" s="55">
        <v>1.4</v>
      </c>
      <c r="K61" s="1" t="s">
        <v>199</v>
      </c>
    </row>
    <row r="62" spans="1:11" x14ac:dyDescent="0.25">
      <c r="A62" s="2" t="s">
        <v>200</v>
      </c>
      <c r="B62" s="54" t="s">
        <v>138</v>
      </c>
      <c r="C62" s="55">
        <v>3</v>
      </c>
      <c r="D62" s="55">
        <v>2.6</v>
      </c>
      <c r="E62" s="55">
        <v>13.3</v>
      </c>
      <c r="F62" s="55">
        <v>90</v>
      </c>
      <c r="G62" s="55">
        <v>6.23</v>
      </c>
      <c r="H62" s="55">
        <v>46.6</v>
      </c>
      <c r="I62" s="55">
        <v>1.6</v>
      </c>
      <c r="J62" s="55">
        <v>0</v>
      </c>
      <c r="K62" s="1" t="s">
        <v>201</v>
      </c>
    </row>
    <row r="63" spans="1:11" x14ac:dyDescent="0.25">
      <c r="A63" s="2"/>
      <c r="B63" s="54"/>
      <c r="C63" s="55"/>
      <c r="D63" s="55"/>
      <c r="E63" s="55"/>
      <c r="F63" s="55"/>
      <c r="G63" s="55"/>
      <c r="H63" s="55"/>
      <c r="I63" s="55"/>
      <c r="J63" s="55"/>
      <c r="K63" s="1"/>
    </row>
    <row r="64" spans="1:11" x14ac:dyDescent="0.25">
      <c r="A64" s="2" t="s">
        <v>202</v>
      </c>
      <c r="B64" s="54" t="s">
        <v>203</v>
      </c>
      <c r="C64" s="55">
        <v>5.7</v>
      </c>
      <c r="D64" s="55">
        <v>2.9</v>
      </c>
      <c r="E64" s="55">
        <v>11.7</v>
      </c>
      <c r="F64" s="55">
        <v>96</v>
      </c>
      <c r="G64" s="55">
        <v>7.76</v>
      </c>
      <c r="H64" s="55">
        <v>5.14</v>
      </c>
      <c r="I64" s="55">
        <v>0.3</v>
      </c>
      <c r="J64" s="55">
        <v>0.48</v>
      </c>
      <c r="K64" s="1" t="s">
        <v>204</v>
      </c>
    </row>
    <row r="65" spans="1:11" x14ac:dyDescent="0.25">
      <c r="A65" s="2" t="s">
        <v>205</v>
      </c>
      <c r="B65" s="54" t="s">
        <v>203</v>
      </c>
      <c r="C65" s="55">
        <v>6.4</v>
      </c>
      <c r="D65" s="55">
        <v>12.9</v>
      </c>
      <c r="E65" s="55">
        <v>16.3</v>
      </c>
      <c r="F65" s="55">
        <v>206</v>
      </c>
      <c r="G65" s="55">
        <v>20.03</v>
      </c>
      <c r="H65" s="55">
        <v>19.93</v>
      </c>
      <c r="I65" s="55">
        <v>1.37</v>
      </c>
      <c r="J65" s="55">
        <v>3.29</v>
      </c>
      <c r="K65" s="1" t="s">
        <v>206</v>
      </c>
    </row>
    <row r="66" spans="1:11" x14ac:dyDescent="0.25">
      <c r="A66" s="2" t="s">
        <v>207</v>
      </c>
      <c r="B66" s="54" t="s">
        <v>138</v>
      </c>
      <c r="C66" s="55">
        <v>1.7</v>
      </c>
      <c r="D66" s="55">
        <v>2.9</v>
      </c>
      <c r="E66" s="55">
        <v>0.6</v>
      </c>
      <c r="F66" s="55">
        <v>35</v>
      </c>
      <c r="G66" s="55">
        <v>3.4</v>
      </c>
      <c r="H66" s="55">
        <v>3.11</v>
      </c>
      <c r="I66" s="55">
        <v>0.18</v>
      </c>
      <c r="J66" s="55">
        <v>0.22</v>
      </c>
      <c r="K66" s="1" t="s">
        <v>208</v>
      </c>
    </row>
    <row r="67" spans="1:11" x14ac:dyDescent="0.25">
      <c r="A67" s="2" t="s">
        <v>209</v>
      </c>
      <c r="B67" s="54" t="s">
        <v>203</v>
      </c>
      <c r="C67" s="55">
        <v>2.76</v>
      </c>
      <c r="D67" s="55">
        <v>8.64</v>
      </c>
      <c r="E67" s="55">
        <v>0.36</v>
      </c>
      <c r="F67" s="55">
        <v>152.4</v>
      </c>
      <c r="G67" s="55">
        <v>0</v>
      </c>
      <c r="H67" s="55">
        <v>0</v>
      </c>
      <c r="I67" s="55">
        <v>0</v>
      </c>
      <c r="J67" s="55">
        <v>0</v>
      </c>
      <c r="K67" s="1" t="s">
        <v>210</v>
      </c>
    </row>
    <row r="68" spans="1:11" x14ac:dyDescent="0.25">
      <c r="A68" s="2" t="s">
        <v>61</v>
      </c>
      <c r="B68" s="54" t="s">
        <v>203</v>
      </c>
      <c r="C68" s="55">
        <v>2.64</v>
      </c>
      <c r="D68" s="55">
        <v>5.28</v>
      </c>
      <c r="E68" s="55">
        <v>14.88</v>
      </c>
      <c r="F68" s="55">
        <v>118.8</v>
      </c>
      <c r="G68" s="55">
        <v>0</v>
      </c>
      <c r="H68" s="55">
        <v>0</v>
      </c>
      <c r="I68" s="55">
        <v>0</v>
      </c>
      <c r="J68" s="55">
        <v>0</v>
      </c>
      <c r="K68" s="1" t="s">
        <v>211</v>
      </c>
    </row>
    <row r="69" spans="1:11" x14ac:dyDescent="0.25">
      <c r="A69" s="2" t="s">
        <v>212</v>
      </c>
      <c r="B69" s="54" t="s">
        <v>203</v>
      </c>
      <c r="C69" s="55">
        <v>10.7</v>
      </c>
      <c r="D69" s="55">
        <v>9.3000000000000007</v>
      </c>
      <c r="E69" s="55">
        <v>23.4</v>
      </c>
      <c r="F69" s="55">
        <v>222</v>
      </c>
      <c r="G69" s="55">
        <v>17.260000000000002</v>
      </c>
      <c r="H69" s="55">
        <v>15.84</v>
      </c>
      <c r="I69" s="55">
        <v>0.99</v>
      </c>
      <c r="J69" s="55">
        <v>10.98</v>
      </c>
      <c r="K69" s="1" t="s">
        <v>213</v>
      </c>
    </row>
    <row r="70" spans="1:11" x14ac:dyDescent="0.25">
      <c r="A70" s="2" t="s">
        <v>214</v>
      </c>
      <c r="B70" s="54" t="s">
        <v>203</v>
      </c>
      <c r="C70" s="55">
        <v>7.9</v>
      </c>
      <c r="D70" s="55">
        <v>12.8</v>
      </c>
      <c r="E70" s="55">
        <v>19.5</v>
      </c>
      <c r="F70" s="55">
        <v>225</v>
      </c>
      <c r="G70" s="55">
        <v>10.86</v>
      </c>
      <c r="H70" s="55">
        <v>6.71</v>
      </c>
      <c r="I70" s="55">
        <v>0.44</v>
      </c>
      <c r="J70" s="55">
        <v>0.4</v>
      </c>
      <c r="K70" s="1" t="s">
        <v>215</v>
      </c>
    </row>
    <row r="71" spans="1:11" x14ac:dyDescent="0.25">
      <c r="A71" s="2" t="s">
        <v>216</v>
      </c>
      <c r="B71" s="54" t="s">
        <v>203</v>
      </c>
      <c r="C71" s="55">
        <v>4.9000000000000004</v>
      </c>
      <c r="D71" s="55">
        <v>5.7</v>
      </c>
      <c r="E71" s="55">
        <v>23.5</v>
      </c>
      <c r="F71" s="55">
        <v>167</v>
      </c>
      <c r="G71" s="55">
        <v>28.9</v>
      </c>
      <c r="H71" s="55">
        <v>10.73</v>
      </c>
      <c r="I71" s="55">
        <v>0.4</v>
      </c>
      <c r="J71" s="55">
        <v>3.2</v>
      </c>
      <c r="K71" s="1" t="s">
        <v>217</v>
      </c>
    </row>
    <row r="72" spans="1:11" x14ac:dyDescent="0.25">
      <c r="A72" s="2" t="s">
        <v>218</v>
      </c>
      <c r="B72" s="54" t="s">
        <v>138</v>
      </c>
      <c r="C72" s="55">
        <v>11.3</v>
      </c>
      <c r="D72" s="55">
        <v>1.1000000000000001</v>
      </c>
      <c r="E72" s="55">
        <v>70.5</v>
      </c>
      <c r="F72" s="55">
        <v>345</v>
      </c>
      <c r="G72" s="55">
        <v>27.72</v>
      </c>
      <c r="H72" s="55">
        <v>19.18</v>
      </c>
      <c r="I72" s="55">
        <v>1.51</v>
      </c>
      <c r="J72" s="55">
        <v>0</v>
      </c>
      <c r="K72" s="1" t="s">
        <v>219</v>
      </c>
    </row>
    <row r="73" spans="1:11" x14ac:dyDescent="0.25">
      <c r="A73" s="2" t="s">
        <v>220</v>
      </c>
      <c r="B73" s="54" t="s">
        <v>203</v>
      </c>
      <c r="C73" s="55">
        <v>6.7</v>
      </c>
      <c r="D73" s="55">
        <v>14.5</v>
      </c>
      <c r="E73" s="55">
        <v>18.8</v>
      </c>
      <c r="F73" s="55">
        <v>240</v>
      </c>
      <c r="G73" s="55">
        <v>44</v>
      </c>
      <c r="H73" s="55">
        <v>35.9</v>
      </c>
      <c r="I73" s="55">
        <v>1.7</v>
      </c>
      <c r="J73" s="55">
        <v>7.3</v>
      </c>
      <c r="K73" s="1" t="s">
        <v>221</v>
      </c>
    </row>
    <row r="74" spans="1:11" x14ac:dyDescent="0.25">
      <c r="A74" s="2" t="s">
        <v>222</v>
      </c>
      <c r="B74" s="54" t="s">
        <v>203</v>
      </c>
      <c r="C74" s="55">
        <v>4.2</v>
      </c>
      <c r="D74" s="55">
        <v>6.45</v>
      </c>
      <c r="E74" s="55">
        <v>16.350000000000001</v>
      </c>
      <c r="F74" s="55">
        <v>139.5</v>
      </c>
      <c r="G74" s="55">
        <v>28.65</v>
      </c>
      <c r="H74" s="55">
        <v>15.885</v>
      </c>
      <c r="I74" s="55">
        <v>0.81</v>
      </c>
      <c r="J74" s="55">
        <v>3.96</v>
      </c>
      <c r="K74" s="1" t="s">
        <v>223</v>
      </c>
    </row>
    <row r="75" spans="1:11" x14ac:dyDescent="0.25">
      <c r="A75" s="2" t="s">
        <v>224</v>
      </c>
      <c r="B75" s="54" t="s">
        <v>203</v>
      </c>
      <c r="C75" s="55">
        <v>6.5</v>
      </c>
      <c r="D75" s="55">
        <v>13.5</v>
      </c>
      <c r="E75" s="55">
        <v>12</v>
      </c>
      <c r="F75" s="55">
        <v>196</v>
      </c>
      <c r="G75" s="55">
        <v>22.37</v>
      </c>
      <c r="H75" s="55">
        <v>11.01</v>
      </c>
      <c r="I75" s="55">
        <v>0.5</v>
      </c>
      <c r="J75" s="55">
        <v>4.9400000000000004</v>
      </c>
      <c r="K75" s="1" t="s">
        <v>225</v>
      </c>
    </row>
    <row r="76" spans="1:11" x14ac:dyDescent="0.25">
      <c r="A76" s="69" t="s">
        <v>504</v>
      </c>
      <c r="B76" s="54" t="s">
        <v>203</v>
      </c>
      <c r="C76" s="55">
        <v>5.7</v>
      </c>
      <c r="D76" s="55">
        <v>2.9</v>
      </c>
      <c r="E76" s="55">
        <v>11.7</v>
      </c>
      <c r="F76" s="55">
        <v>96</v>
      </c>
      <c r="G76" s="55">
        <v>7.76</v>
      </c>
      <c r="H76" s="55">
        <v>5.14</v>
      </c>
      <c r="I76" s="55">
        <v>0.3</v>
      </c>
      <c r="J76" s="55">
        <v>0.48</v>
      </c>
      <c r="K76" s="68" t="s">
        <v>204</v>
      </c>
    </row>
    <row r="77" spans="1:11" x14ac:dyDescent="0.25">
      <c r="A77" s="2" t="s">
        <v>60</v>
      </c>
      <c r="B77" s="54" t="s">
        <v>138</v>
      </c>
      <c r="C77" s="55">
        <v>0.8</v>
      </c>
      <c r="D77" s="55">
        <v>0.1</v>
      </c>
      <c r="E77" s="55">
        <v>2.5</v>
      </c>
      <c r="F77" s="55">
        <v>14</v>
      </c>
      <c r="G77" s="55">
        <v>26.15</v>
      </c>
      <c r="H77" s="55">
        <v>13.94</v>
      </c>
      <c r="I77" s="55">
        <v>0.62</v>
      </c>
      <c r="J77" s="55">
        <v>9.8000000000000007</v>
      </c>
      <c r="K77" s="1" t="s">
        <v>226</v>
      </c>
    </row>
    <row r="78" spans="1:11" x14ac:dyDescent="0.25">
      <c r="A78" s="2" t="s">
        <v>227</v>
      </c>
      <c r="B78" s="54">
        <v>100</v>
      </c>
      <c r="C78" s="55">
        <v>1.2</v>
      </c>
      <c r="D78" s="55">
        <v>5</v>
      </c>
      <c r="E78" s="55">
        <v>13.9</v>
      </c>
      <c r="F78" s="55">
        <v>103</v>
      </c>
      <c r="G78" s="55">
        <v>24.05</v>
      </c>
      <c r="H78" s="55">
        <v>33.520000000000003</v>
      </c>
      <c r="I78" s="55">
        <v>0.64</v>
      </c>
      <c r="J78" s="55">
        <v>4.41</v>
      </c>
      <c r="K78" s="1" t="s">
        <v>228</v>
      </c>
    </row>
    <row r="79" spans="1:11" x14ac:dyDescent="0.25">
      <c r="A79" s="2" t="s">
        <v>229</v>
      </c>
      <c r="B79" s="54" t="s">
        <v>230</v>
      </c>
      <c r="C79" s="55">
        <v>0.98980000000000001</v>
      </c>
      <c r="D79" s="55">
        <v>9.9842399999999998</v>
      </c>
      <c r="E79" s="55">
        <v>8.3633199999999999</v>
      </c>
      <c r="F79" s="55">
        <v>127.27064</v>
      </c>
      <c r="G79" s="55">
        <v>26.518799999999999</v>
      </c>
      <c r="H79" s="55">
        <v>15.591799999999999</v>
      </c>
      <c r="I79" s="55">
        <v>1.55036</v>
      </c>
      <c r="J79" s="55">
        <v>9.11</v>
      </c>
      <c r="K79" s="1" t="s">
        <v>231</v>
      </c>
    </row>
    <row r="80" spans="1:11" x14ac:dyDescent="0.25">
      <c r="A80" s="2" t="s">
        <v>232</v>
      </c>
      <c r="B80" s="54" t="s">
        <v>138</v>
      </c>
      <c r="C80" s="55">
        <v>2.7</v>
      </c>
      <c r="D80" s="55">
        <v>10.86</v>
      </c>
      <c r="E80" s="55">
        <v>13.61</v>
      </c>
      <c r="F80" s="55">
        <v>162.97694000000001</v>
      </c>
      <c r="G80" s="55">
        <v>20.99</v>
      </c>
      <c r="H80" s="55">
        <v>32.479999999999997</v>
      </c>
      <c r="I80" s="55">
        <v>1.29</v>
      </c>
      <c r="J80" s="55">
        <v>12.67</v>
      </c>
      <c r="K80" s="1" t="s">
        <v>233</v>
      </c>
    </row>
    <row r="81" spans="1:11" x14ac:dyDescent="0.25">
      <c r="A81" s="2" t="s">
        <v>234</v>
      </c>
      <c r="B81" s="54" t="s">
        <v>138</v>
      </c>
      <c r="C81" s="55">
        <v>1.3</v>
      </c>
      <c r="D81" s="55">
        <v>3</v>
      </c>
      <c r="E81" s="55">
        <v>17.5</v>
      </c>
      <c r="F81" s="55">
        <v>100</v>
      </c>
      <c r="G81" s="55">
        <v>24.26</v>
      </c>
      <c r="H81" s="55">
        <v>33.94</v>
      </c>
      <c r="I81" s="55">
        <v>0.64</v>
      </c>
      <c r="J81" s="55">
        <v>4.47</v>
      </c>
      <c r="K81" s="1" t="s">
        <v>235</v>
      </c>
    </row>
    <row r="82" spans="1:11" x14ac:dyDescent="0.25">
      <c r="A82" s="2" t="s">
        <v>236</v>
      </c>
      <c r="B82" s="54" t="s">
        <v>138</v>
      </c>
      <c r="C82" s="55">
        <v>1.6</v>
      </c>
      <c r="D82" s="55">
        <v>7.9</v>
      </c>
      <c r="E82" s="55">
        <v>10.3</v>
      </c>
      <c r="F82" s="55">
        <v>122</v>
      </c>
      <c r="G82" s="55">
        <v>47.3</v>
      </c>
      <c r="H82" s="55">
        <v>16.3</v>
      </c>
      <c r="I82" s="55">
        <v>0.7</v>
      </c>
      <c r="J82" s="55">
        <v>38.9</v>
      </c>
      <c r="K82" s="1" t="s">
        <v>237</v>
      </c>
    </row>
    <row r="83" spans="1:11" ht="31.5" x14ac:dyDescent="0.25">
      <c r="A83" s="2" t="s">
        <v>238</v>
      </c>
      <c r="B83" s="54" t="s">
        <v>138</v>
      </c>
      <c r="C83" s="55">
        <v>1.7</v>
      </c>
      <c r="D83" s="55">
        <v>6.2</v>
      </c>
      <c r="E83" s="55">
        <v>12.7</v>
      </c>
      <c r="F83" s="55">
        <v>117</v>
      </c>
      <c r="G83" s="55">
        <v>19.2</v>
      </c>
      <c r="H83" s="55">
        <v>19.399999999999999</v>
      </c>
      <c r="I83" s="55">
        <v>0.8</v>
      </c>
      <c r="J83" s="55">
        <v>6.3</v>
      </c>
      <c r="K83" s="1" t="s">
        <v>239</v>
      </c>
    </row>
    <row r="84" spans="1:11" x14ac:dyDescent="0.25">
      <c r="A84" s="2" t="s">
        <v>535</v>
      </c>
      <c r="B84" s="54" t="s">
        <v>138</v>
      </c>
      <c r="C84" s="55">
        <v>1.6</v>
      </c>
      <c r="D84" s="55">
        <v>6</v>
      </c>
      <c r="E84" s="55">
        <v>8.4</v>
      </c>
      <c r="F84" s="55">
        <v>97</v>
      </c>
      <c r="G84" s="55">
        <v>36</v>
      </c>
      <c r="H84" s="55">
        <v>11.7</v>
      </c>
      <c r="I84" s="55">
        <v>0.5</v>
      </c>
      <c r="J84" s="55">
        <v>30.7</v>
      </c>
      <c r="K84" s="1" t="s">
        <v>240</v>
      </c>
    </row>
    <row r="85" spans="1:11" ht="31.5" x14ac:dyDescent="0.25">
      <c r="A85" s="2" t="s">
        <v>241</v>
      </c>
      <c r="B85" s="54" t="s">
        <v>138</v>
      </c>
      <c r="C85" s="55">
        <v>2.75</v>
      </c>
      <c r="D85" s="55">
        <v>6.8</v>
      </c>
      <c r="E85" s="55">
        <v>17.61</v>
      </c>
      <c r="F85" s="55">
        <v>142.6292</v>
      </c>
      <c r="G85" s="55">
        <v>16.23</v>
      </c>
      <c r="H85" s="55">
        <v>29.95</v>
      </c>
      <c r="I85" s="55">
        <v>1.1000000000000001</v>
      </c>
      <c r="J85" s="55">
        <v>0</v>
      </c>
      <c r="K85" s="1" t="s">
        <v>242</v>
      </c>
    </row>
    <row r="86" spans="1:11" ht="31.5" x14ac:dyDescent="0.25">
      <c r="A86" s="2" t="s">
        <v>243</v>
      </c>
      <c r="B86" s="54" t="s">
        <v>138</v>
      </c>
      <c r="C86" s="55">
        <v>1.43</v>
      </c>
      <c r="D86" s="55">
        <v>6.12</v>
      </c>
      <c r="E86" s="55">
        <v>18.149999999999999</v>
      </c>
      <c r="F86" s="55">
        <v>133.44399999999999</v>
      </c>
      <c r="G86" s="55">
        <v>37.72</v>
      </c>
      <c r="H86" s="55">
        <v>21.8</v>
      </c>
      <c r="I86" s="55">
        <v>1.43</v>
      </c>
      <c r="J86" s="55">
        <v>0</v>
      </c>
      <c r="K86" s="1" t="s">
        <v>244</v>
      </c>
    </row>
    <row r="87" spans="1:11" ht="31.5" x14ac:dyDescent="0.25">
      <c r="A87" s="2" t="s">
        <v>245</v>
      </c>
      <c r="B87" s="54" t="s">
        <v>138</v>
      </c>
      <c r="C87" s="55">
        <v>1.59</v>
      </c>
      <c r="D87" s="55">
        <v>6.2</v>
      </c>
      <c r="E87" s="55">
        <v>11.35</v>
      </c>
      <c r="F87" s="55">
        <v>107.53618400000001</v>
      </c>
      <c r="G87" s="55">
        <v>19.71</v>
      </c>
      <c r="H87" s="55">
        <v>64.55</v>
      </c>
      <c r="I87" s="55">
        <v>5.23</v>
      </c>
      <c r="J87" s="55">
        <v>0</v>
      </c>
      <c r="K87" s="1" t="s">
        <v>246</v>
      </c>
    </row>
    <row r="88" spans="1:11" ht="31.5" x14ac:dyDescent="0.25">
      <c r="A88" s="2" t="s">
        <v>247</v>
      </c>
      <c r="B88" s="54" t="s">
        <v>138</v>
      </c>
      <c r="C88" s="55">
        <v>2.08</v>
      </c>
      <c r="D88" s="55">
        <v>5.84</v>
      </c>
      <c r="E88" s="55">
        <v>5.2</v>
      </c>
      <c r="F88" s="55">
        <v>84</v>
      </c>
      <c r="G88" s="55">
        <v>65.12</v>
      </c>
      <c r="H88" s="55">
        <v>16.8</v>
      </c>
      <c r="I88" s="55">
        <v>0.96</v>
      </c>
      <c r="J88" s="55">
        <v>1.52</v>
      </c>
      <c r="K88" s="1" t="s">
        <v>248</v>
      </c>
    </row>
    <row r="89" spans="1:11" ht="31.5" x14ac:dyDescent="0.25">
      <c r="A89" s="2" t="s">
        <v>249</v>
      </c>
      <c r="B89" s="54" t="s">
        <v>138</v>
      </c>
      <c r="C89" s="55">
        <v>1.74</v>
      </c>
      <c r="D89" s="55">
        <v>8.91</v>
      </c>
      <c r="E89" s="55">
        <v>11.09</v>
      </c>
      <c r="F89" s="55">
        <v>131.52286000000001</v>
      </c>
      <c r="G89" s="55">
        <v>44.98</v>
      </c>
      <c r="H89" s="55">
        <v>20.62</v>
      </c>
      <c r="I89" s="55">
        <v>0.65</v>
      </c>
      <c r="J89" s="55">
        <v>38.020000000000003</v>
      </c>
      <c r="K89" s="1" t="s">
        <v>250</v>
      </c>
    </row>
    <row r="90" spans="1:11" ht="31.5" x14ac:dyDescent="0.25">
      <c r="A90" s="2" t="s">
        <v>251</v>
      </c>
      <c r="B90" s="54" t="s">
        <v>138</v>
      </c>
      <c r="C90" s="55">
        <v>4.2300000000000004</v>
      </c>
      <c r="D90" s="55">
        <v>7.76</v>
      </c>
      <c r="E90" s="55">
        <v>15.09</v>
      </c>
      <c r="F90" s="55">
        <v>147.10486</v>
      </c>
      <c r="G90" s="55">
        <v>52.01</v>
      </c>
      <c r="H90" s="55">
        <v>29.4</v>
      </c>
      <c r="I90" s="55">
        <v>1.28</v>
      </c>
      <c r="J90" s="55">
        <v>39.25</v>
      </c>
      <c r="K90" s="1" t="s">
        <v>252</v>
      </c>
    </row>
    <row r="91" spans="1:11" ht="31.5" x14ac:dyDescent="0.25">
      <c r="A91" s="2" t="s">
        <v>253</v>
      </c>
      <c r="B91" s="54" t="s">
        <v>138</v>
      </c>
      <c r="C91" s="55">
        <v>1.7</v>
      </c>
      <c r="D91" s="55">
        <v>6.1</v>
      </c>
      <c r="E91" s="55">
        <v>10.1</v>
      </c>
      <c r="F91" s="55">
        <v>107</v>
      </c>
      <c r="G91" s="55">
        <v>15.4</v>
      </c>
      <c r="H91" s="55">
        <v>22.9</v>
      </c>
      <c r="I91" s="55">
        <v>0.7</v>
      </c>
      <c r="J91" s="55">
        <v>0</v>
      </c>
      <c r="K91" s="1" t="s">
        <v>254</v>
      </c>
    </row>
    <row r="92" spans="1:11" x14ac:dyDescent="0.25">
      <c r="A92" s="2" t="s">
        <v>255</v>
      </c>
      <c r="B92" s="54" t="s">
        <v>138</v>
      </c>
      <c r="C92" s="55">
        <v>1.6</v>
      </c>
      <c r="D92" s="55">
        <v>8</v>
      </c>
      <c r="E92" s="55">
        <v>11.9</v>
      </c>
      <c r="F92" s="55">
        <v>125</v>
      </c>
      <c r="G92" s="55">
        <v>46.43</v>
      </c>
      <c r="H92" s="55">
        <v>15.26</v>
      </c>
      <c r="I92" s="55">
        <v>1.03</v>
      </c>
      <c r="J92" s="55">
        <v>38.86</v>
      </c>
      <c r="K92" s="1" t="s">
        <v>256</v>
      </c>
    </row>
    <row r="93" spans="1:11" x14ac:dyDescent="0.25">
      <c r="A93" s="2" t="s">
        <v>257</v>
      </c>
      <c r="B93" s="54" t="s">
        <v>97</v>
      </c>
      <c r="C93" s="55">
        <v>0.08</v>
      </c>
      <c r="D93" s="55">
        <v>0.01</v>
      </c>
      <c r="E93" s="55">
        <v>0.17</v>
      </c>
      <c r="F93" s="55">
        <v>1.0900000000000001</v>
      </c>
      <c r="G93" s="55">
        <v>2.2999999999999998</v>
      </c>
      <c r="H93" s="55">
        <v>1.4</v>
      </c>
      <c r="I93" s="55">
        <v>0.06</v>
      </c>
      <c r="J93" s="55">
        <v>0.5</v>
      </c>
      <c r="K93" s="1" t="s">
        <v>258</v>
      </c>
    </row>
    <row r="94" spans="1:11" ht="31.5" x14ac:dyDescent="0.25">
      <c r="A94" s="2" t="s">
        <v>259</v>
      </c>
      <c r="B94" s="54">
        <v>100</v>
      </c>
      <c r="C94" s="55">
        <v>0.9</v>
      </c>
      <c r="D94" s="55">
        <v>6</v>
      </c>
      <c r="E94" s="55">
        <v>2.9</v>
      </c>
      <c r="F94" s="55">
        <v>72</v>
      </c>
      <c r="G94" s="55">
        <v>18.8</v>
      </c>
      <c r="H94" s="55">
        <v>15.8</v>
      </c>
      <c r="I94" s="55">
        <v>0.7</v>
      </c>
      <c r="J94" s="55">
        <v>16.100000000000001</v>
      </c>
      <c r="K94" s="1" t="s">
        <v>260</v>
      </c>
    </row>
    <row r="95" spans="1:11" x14ac:dyDescent="0.25">
      <c r="A95" s="2" t="s">
        <v>261</v>
      </c>
      <c r="B95" s="54" t="s">
        <v>138</v>
      </c>
      <c r="C95" s="55">
        <v>1.1000000000000001</v>
      </c>
      <c r="D95" s="55">
        <v>0.2</v>
      </c>
      <c r="E95" s="55">
        <v>3.7</v>
      </c>
      <c r="F95" s="55">
        <v>23</v>
      </c>
      <c r="G95" s="55">
        <v>17.329999999999998</v>
      </c>
      <c r="H95" s="55">
        <v>19.82</v>
      </c>
      <c r="I95" s="55">
        <v>0.91</v>
      </c>
      <c r="J95" s="55">
        <v>24.5</v>
      </c>
      <c r="K95" s="1" t="s">
        <v>262</v>
      </c>
    </row>
    <row r="96" spans="1:11" x14ac:dyDescent="0.25">
      <c r="A96" s="2" t="s">
        <v>263</v>
      </c>
      <c r="B96" s="54">
        <v>100</v>
      </c>
      <c r="C96" s="55">
        <v>1</v>
      </c>
      <c r="D96" s="55">
        <v>6.1</v>
      </c>
      <c r="E96" s="55">
        <v>3.5</v>
      </c>
      <c r="F96" s="55">
        <v>77</v>
      </c>
      <c r="G96" s="55">
        <v>14.7</v>
      </c>
      <c r="H96" s="55">
        <v>18.5</v>
      </c>
      <c r="I96" s="55">
        <v>0.8</v>
      </c>
      <c r="J96" s="55">
        <v>23</v>
      </c>
      <c r="K96" s="1" t="s">
        <v>264</v>
      </c>
    </row>
    <row r="97" spans="1:11" x14ac:dyDescent="0.25">
      <c r="A97" s="2" t="s">
        <v>265</v>
      </c>
      <c r="B97" s="54" t="s">
        <v>138</v>
      </c>
      <c r="C97" s="55">
        <v>0.7</v>
      </c>
      <c r="D97" s="55">
        <v>6</v>
      </c>
      <c r="E97" s="55">
        <v>2.2999999999999998</v>
      </c>
      <c r="F97" s="55">
        <v>68</v>
      </c>
      <c r="G97" s="55">
        <v>23</v>
      </c>
      <c r="H97" s="55">
        <v>13</v>
      </c>
      <c r="I97" s="55">
        <v>0.6</v>
      </c>
      <c r="J97" s="55">
        <v>9.1999999999999993</v>
      </c>
      <c r="K97" s="1" t="s">
        <v>266</v>
      </c>
    </row>
    <row r="98" spans="1:11" ht="31.5" x14ac:dyDescent="0.25">
      <c r="A98" s="2" t="s">
        <v>267</v>
      </c>
      <c r="B98" s="54" t="s">
        <v>138</v>
      </c>
      <c r="C98" s="55">
        <v>1.3</v>
      </c>
      <c r="D98" s="55">
        <v>6</v>
      </c>
      <c r="E98" s="55">
        <v>6</v>
      </c>
      <c r="F98" s="55">
        <v>86</v>
      </c>
      <c r="G98" s="55">
        <v>30.8</v>
      </c>
      <c r="H98" s="55">
        <v>0</v>
      </c>
      <c r="I98" s="55">
        <v>1.1000000000000001</v>
      </c>
      <c r="J98" s="55">
        <v>2.4</v>
      </c>
      <c r="K98" s="1" t="s">
        <v>268</v>
      </c>
    </row>
    <row r="99" spans="1:11" ht="31.5" x14ac:dyDescent="0.25">
      <c r="A99" s="79" t="s">
        <v>514</v>
      </c>
      <c r="B99" s="54" t="s">
        <v>138</v>
      </c>
      <c r="C99" s="55">
        <v>1</v>
      </c>
      <c r="D99" s="55">
        <v>6</v>
      </c>
      <c r="E99" s="55">
        <v>9.4</v>
      </c>
      <c r="F99" s="55">
        <v>99</v>
      </c>
      <c r="G99" s="55">
        <v>22.3</v>
      </c>
      <c r="H99" s="55">
        <v>0</v>
      </c>
      <c r="I99" s="55">
        <v>0.9</v>
      </c>
      <c r="J99" s="55">
        <v>3</v>
      </c>
      <c r="K99" s="78" t="s">
        <v>515</v>
      </c>
    </row>
    <row r="100" spans="1:11" x14ac:dyDescent="0.25">
      <c r="A100" s="2" t="s">
        <v>269</v>
      </c>
      <c r="B100" s="54" t="s">
        <v>138</v>
      </c>
      <c r="C100" s="55">
        <v>13.9</v>
      </c>
      <c r="D100" s="55">
        <v>12.5</v>
      </c>
      <c r="E100" s="55">
        <v>3.8</v>
      </c>
      <c r="F100" s="55">
        <v>184</v>
      </c>
      <c r="G100" s="55">
        <v>12.82</v>
      </c>
      <c r="H100" s="55">
        <v>17.37</v>
      </c>
      <c r="I100" s="55">
        <v>1.95</v>
      </c>
      <c r="J100" s="55">
        <v>0.92</v>
      </c>
      <c r="K100" s="1" t="s">
        <v>270</v>
      </c>
    </row>
    <row r="101" spans="1:11" x14ac:dyDescent="0.25">
      <c r="A101" s="2" t="s">
        <v>271</v>
      </c>
      <c r="B101" s="54" t="s">
        <v>138</v>
      </c>
      <c r="C101" s="55">
        <v>13.68</v>
      </c>
      <c r="D101" s="55">
        <v>11.36</v>
      </c>
      <c r="E101" s="55">
        <v>4.24</v>
      </c>
      <c r="F101" s="55">
        <v>174.4</v>
      </c>
      <c r="G101" s="55">
        <v>11.183999999999999</v>
      </c>
      <c r="H101" s="55">
        <v>15.304</v>
      </c>
      <c r="I101" s="55">
        <v>1.1519999999999999</v>
      </c>
      <c r="J101" s="55">
        <v>0.14399999999999999</v>
      </c>
      <c r="K101" s="1" t="s">
        <v>272</v>
      </c>
    </row>
    <row r="102" spans="1:11" ht="31.5" x14ac:dyDescent="0.25">
      <c r="A102" s="2" t="s">
        <v>273</v>
      </c>
      <c r="B102" s="54" t="s">
        <v>118</v>
      </c>
      <c r="C102" s="55">
        <v>17.559999999999999</v>
      </c>
      <c r="D102" s="55">
        <v>10.86</v>
      </c>
      <c r="E102" s="55">
        <v>30.66</v>
      </c>
      <c r="F102" s="55">
        <v>290.62111679999998</v>
      </c>
      <c r="G102" s="55">
        <v>31.85</v>
      </c>
      <c r="H102" s="55">
        <v>64.77</v>
      </c>
      <c r="I102" s="55">
        <v>1.98</v>
      </c>
      <c r="J102" s="55">
        <v>3.1</v>
      </c>
      <c r="K102" s="1" t="s">
        <v>274</v>
      </c>
    </row>
    <row r="103" spans="1:11" x14ac:dyDescent="0.25">
      <c r="A103" s="2" t="s">
        <v>275</v>
      </c>
      <c r="B103" s="54" t="s">
        <v>138</v>
      </c>
      <c r="C103" s="55">
        <v>14.3</v>
      </c>
      <c r="D103" s="55">
        <v>20.3</v>
      </c>
      <c r="E103" s="55">
        <v>5.8</v>
      </c>
      <c r="F103" s="55">
        <v>264</v>
      </c>
      <c r="G103" s="55">
        <v>13.8</v>
      </c>
      <c r="H103" s="55">
        <v>19</v>
      </c>
      <c r="I103" s="55">
        <v>1.9</v>
      </c>
      <c r="J103" s="55">
        <v>0.1</v>
      </c>
      <c r="K103" s="1" t="s">
        <v>276</v>
      </c>
    </row>
    <row r="104" spans="1:11" x14ac:dyDescent="0.25">
      <c r="A104" s="2" t="s">
        <v>277</v>
      </c>
      <c r="B104" s="54" t="s">
        <v>138</v>
      </c>
      <c r="C104" s="55">
        <v>14.1</v>
      </c>
      <c r="D104" s="55">
        <v>21.1</v>
      </c>
      <c r="E104" s="55">
        <v>6</v>
      </c>
      <c r="F104" s="55">
        <v>271</v>
      </c>
      <c r="G104" s="55">
        <v>14.49</v>
      </c>
      <c r="H104" s="55">
        <v>25.06</v>
      </c>
      <c r="I104" s="55">
        <v>1.99</v>
      </c>
      <c r="J104" s="55">
        <v>0.12</v>
      </c>
      <c r="K104" s="1" t="s">
        <v>278</v>
      </c>
    </row>
    <row r="105" spans="1:11" x14ac:dyDescent="0.25">
      <c r="A105" s="2" t="s">
        <v>279</v>
      </c>
      <c r="B105" s="54" t="s">
        <v>118</v>
      </c>
      <c r="C105" s="55">
        <v>13.7</v>
      </c>
      <c r="D105" s="55">
        <v>25.4</v>
      </c>
      <c r="E105" s="55">
        <v>35.799999999999997</v>
      </c>
      <c r="F105" s="55">
        <v>430</v>
      </c>
      <c r="G105" s="55">
        <v>15.72</v>
      </c>
      <c r="H105" s="55">
        <v>38.99</v>
      </c>
      <c r="I105" s="55">
        <v>1.75</v>
      </c>
      <c r="J105" s="55">
        <v>1.24</v>
      </c>
      <c r="K105" s="1" t="s">
        <v>280</v>
      </c>
    </row>
    <row r="106" spans="1:11" s="56" customFormat="1" ht="31.5" x14ac:dyDescent="0.25">
      <c r="A106" s="2" t="s">
        <v>281</v>
      </c>
      <c r="B106" s="54" t="s">
        <v>118</v>
      </c>
      <c r="C106" s="55">
        <v>14.8</v>
      </c>
      <c r="D106" s="55">
        <v>16.8</v>
      </c>
      <c r="E106" s="55">
        <v>27.3</v>
      </c>
      <c r="F106" s="55">
        <v>328</v>
      </c>
      <c r="G106" s="55">
        <v>25.76</v>
      </c>
      <c r="H106" s="55">
        <v>0</v>
      </c>
      <c r="I106" s="55">
        <v>3.04</v>
      </c>
      <c r="J106" s="55">
        <v>14.72</v>
      </c>
      <c r="K106" s="1" t="s">
        <v>282</v>
      </c>
    </row>
    <row r="107" spans="1:11" s="56" customFormat="1" x14ac:dyDescent="0.25">
      <c r="A107" s="2" t="s">
        <v>283</v>
      </c>
      <c r="B107" s="54" t="s">
        <v>118</v>
      </c>
      <c r="C107" s="55">
        <v>15.7</v>
      </c>
      <c r="D107" s="55">
        <v>15.7</v>
      </c>
      <c r="E107" s="55">
        <v>19.8</v>
      </c>
      <c r="F107" s="55">
        <v>289</v>
      </c>
      <c r="G107" s="55">
        <v>24.5</v>
      </c>
      <c r="H107" s="55">
        <v>2.8</v>
      </c>
      <c r="I107" s="55">
        <v>0</v>
      </c>
      <c r="J107" s="55">
        <v>10.7</v>
      </c>
      <c r="K107" s="1" t="s">
        <v>284</v>
      </c>
    </row>
    <row r="108" spans="1:11" s="56" customFormat="1" x14ac:dyDescent="0.25">
      <c r="A108" s="2" t="s">
        <v>285</v>
      </c>
      <c r="B108" s="54" t="s">
        <v>138</v>
      </c>
      <c r="C108" s="55">
        <v>13.9</v>
      </c>
      <c r="D108" s="55">
        <v>12.5</v>
      </c>
      <c r="E108" s="55">
        <v>3.8</v>
      </c>
      <c r="F108" s="55">
        <v>184</v>
      </c>
      <c r="G108" s="55">
        <v>12.82</v>
      </c>
      <c r="H108" s="55">
        <v>17.37</v>
      </c>
      <c r="I108" s="55">
        <v>1.95</v>
      </c>
      <c r="J108" s="55">
        <v>0.92</v>
      </c>
      <c r="K108" s="1" t="s">
        <v>286</v>
      </c>
    </row>
    <row r="109" spans="1:11" s="56" customFormat="1" x14ac:dyDescent="0.25">
      <c r="A109" s="2" t="s">
        <v>287</v>
      </c>
      <c r="B109" s="54">
        <v>200</v>
      </c>
      <c r="C109" s="55">
        <v>17.37</v>
      </c>
      <c r="D109" s="55">
        <v>9.0540000000000003</v>
      </c>
      <c r="E109" s="55">
        <v>30.789000000000001</v>
      </c>
      <c r="F109" s="55">
        <v>274.12200000000001</v>
      </c>
      <c r="G109" s="55">
        <v>16.596</v>
      </c>
      <c r="H109" s="55">
        <v>48.545999999999999</v>
      </c>
      <c r="I109" s="55">
        <v>2.0790000000000002</v>
      </c>
      <c r="J109" s="55">
        <v>1.2509999999999999</v>
      </c>
      <c r="K109" s="1" t="s">
        <v>288</v>
      </c>
    </row>
    <row r="110" spans="1:11" s="56" customFormat="1" x14ac:dyDescent="0.25">
      <c r="A110" s="2" t="s">
        <v>289</v>
      </c>
      <c r="B110" s="54" t="s">
        <v>118</v>
      </c>
      <c r="C110" s="55">
        <v>22.6</v>
      </c>
      <c r="D110" s="55">
        <v>25</v>
      </c>
      <c r="E110" s="55">
        <v>41.4</v>
      </c>
      <c r="F110" s="55">
        <v>488</v>
      </c>
      <c r="G110" s="55">
        <v>0</v>
      </c>
      <c r="H110" s="55">
        <v>0</v>
      </c>
      <c r="I110" s="55">
        <v>0</v>
      </c>
      <c r="J110" s="55">
        <v>0</v>
      </c>
      <c r="K110" s="1" t="s">
        <v>290</v>
      </c>
    </row>
    <row r="111" spans="1:11" x14ac:dyDescent="0.25">
      <c r="A111" s="2" t="s">
        <v>291</v>
      </c>
      <c r="B111" s="54" t="s">
        <v>138</v>
      </c>
      <c r="C111" s="55">
        <v>12.9</v>
      </c>
      <c r="D111" s="55">
        <v>13.1</v>
      </c>
      <c r="E111" s="55">
        <v>11.8</v>
      </c>
      <c r="F111" s="55">
        <v>217</v>
      </c>
      <c r="G111" s="55">
        <v>19.89</v>
      </c>
      <c r="H111" s="55">
        <v>23.01</v>
      </c>
      <c r="I111" s="55">
        <v>2.13</v>
      </c>
      <c r="J111" s="55">
        <v>3</v>
      </c>
      <c r="K111" s="1" t="s">
        <v>292</v>
      </c>
    </row>
    <row r="112" spans="1:11" x14ac:dyDescent="0.25">
      <c r="A112" s="2" t="s">
        <v>62</v>
      </c>
      <c r="B112" s="54" t="s">
        <v>138</v>
      </c>
      <c r="C112" s="55">
        <v>13.9</v>
      </c>
      <c r="D112" s="55">
        <v>12.5</v>
      </c>
      <c r="E112" s="55">
        <v>3.4</v>
      </c>
      <c r="F112" s="55">
        <v>183</v>
      </c>
      <c r="G112" s="55">
        <v>12.3</v>
      </c>
      <c r="H112" s="55">
        <v>18.2</v>
      </c>
      <c r="I112" s="55">
        <v>2</v>
      </c>
      <c r="J112" s="55">
        <v>1.1000000000000001</v>
      </c>
      <c r="K112" s="1" t="s">
        <v>293</v>
      </c>
    </row>
    <row r="113" spans="1:11" x14ac:dyDescent="0.25">
      <c r="A113" s="58" t="s">
        <v>492</v>
      </c>
      <c r="B113" s="64" t="s">
        <v>118</v>
      </c>
      <c r="C113" s="58">
        <v>19.8</v>
      </c>
      <c r="D113" s="65">
        <v>15.2</v>
      </c>
      <c r="E113" s="65">
        <v>24.2</v>
      </c>
      <c r="F113" s="65">
        <v>325</v>
      </c>
      <c r="G113" s="65">
        <v>26.8</v>
      </c>
      <c r="H113" s="65">
        <v>77.7</v>
      </c>
      <c r="I113" s="65">
        <v>4.2</v>
      </c>
      <c r="J113" s="65">
        <v>0.7</v>
      </c>
      <c r="K113" s="65" t="s">
        <v>493</v>
      </c>
    </row>
    <row r="114" spans="1:11" x14ac:dyDescent="0.25">
      <c r="A114" s="58" t="s">
        <v>510</v>
      </c>
      <c r="B114" s="64">
        <v>100</v>
      </c>
      <c r="C114" s="58" t="s">
        <v>511</v>
      </c>
      <c r="D114" s="65">
        <v>22.4</v>
      </c>
      <c r="E114" s="65">
        <v>9.3000000000000007</v>
      </c>
      <c r="F114" s="65">
        <v>285</v>
      </c>
      <c r="G114" s="65">
        <v>25.2</v>
      </c>
      <c r="H114" s="65">
        <v>0</v>
      </c>
      <c r="I114" s="65">
        <v>1.9</v>
      </c>
      <c r="J114" s="65">
        <v>1.9</v>
      </c>
      <c r="K114" s="65" t="s">
        <v>512</v>
      </c>
    </row>
    <row r="115" spans="1:11" x14ac:dyDescent="0.25">
      <c r="A115" s="2" t="s">
        <v>294</v>
      </c>
      <c r="B115" s="54" t="s">
        <v>138</v>
      </c>
      <c r="C115" s="55">
        <v>13.2</v>
      </c>
      <c r="D115" s="55">
        <v>14.5</v>
      </c>
      <c r="E115" s="55">
        <v>3.7</v>
      </c>
      <c r="F115" s="55">
        <v>198</v>
      </c>
      <c r="G115" s="55">
        <v>36.1</v>
      </c>
      <c r="H115" s="55">
        <v>17.5</v>
      </c>
      <c r="I115" s="55">
        <v>1</v>
      </c>
      <c r="J115" s="55">
        <v>0.9</v>
      </c>
      <c r="K115" s="1" t="s">
        <v>295</v>
      </c>
    </row>
    <row r="116" spans="1:11" x14ac:dyDescent="0.25">
      <c r="A116" s="2" t="s">
        <v>296</v>
      </c>
      <c r="B116" s="54" t="s">
        <v>138</v>
      </c>
      <c r="C116" s="55">
        <v>13</v>
      </c>
      <c r="D116" s="55">
        <v>14.4</v>
      </c>
      <c r="E116" s="55">
        <v>2.6</v>
      </c>
      <c r="F116" s="55">
        <v>192</v>
      </c>
      <c r="G116" s="55">
        <v>19.72</v>
      </c>
      <c r="H116" s="55">
        <v>13.74</v>
      </c>
      <c r="I116" s="55">
        <v>0.98</v>
      </c>
      <c r="J116" s="55">
        <v>0.71</v>
      </c>
      <c r="K116" s="1" t="s">
        <v>297</v>
      </c>
    </row>
    <row r="117" spans="1:11" x14ac:dyDescent="0.25">
      <c r="A117" s="2" t="s">
        <v>298</v>
      </c>
      <c r="B117" s="54">
        <v>100</v>
      </c>
      <c r="C117" s="55">
        <v>19.100000000000001</v>
      </c>
      <c r="D117" s="55">
        <v>3.1</v>
      </c>
      <c r="E117" s="55">
        <v>8.3000000000000007</v>
      </c>
      <c r="F117" s="55">
        <v>138</v>
      </c>
      <c r="G117" s="55">
        <v>41.81</v>
      </c>
      <c r="H117" s="55">
        <v>18.41</v>
      </c>
      <c r="I117" s="55">
        <v>1.17</v>
      </c>
      <c r="J117" s="55">
        <v>0.37</v>
      </c>
      <c r="K117" s="1" t="s">
        <v>299</v>
      </c>
    </row>
    <row r="118" spans="1:11" x14ac:dyDescent="0.25">
      <c r="A118" s="2" t="s">
        <v>300</v>
      </c>
      <c r="B118" s="54" t="s">
        <v>138</v>
      </c>
      <c r="C118" s="55">
        <v>18.3</v>
      </c>
      <c r="D118" s="55">
        <v>5.4</v>
      </c>
      <c r="E118" s="55">
        <v>3</v>
      </c>
      <c r="F118" s="55">
        <v>134</v>
      </c>
      <c r="G118" s="55">
        <v>21.67</v>
      </c>
      <c r="H118" s="55">
        <v>16.3</v>
      </c>
      <c r="I118" s="55">
        <v>1.03</v>
      </c>
      <c r="J118" s="55">
        <v>0.85</v>
      </c>
      <c r="K118" s="1" t="s">
        <v>301</v>
      </c>
    </row>
    <row r="119" spans="1:11" x14ac:dyDescent="0.25">
      <c r="A119" s="2" t="s">
        <v>496</v>
      </c>
      <c r="B119" s="54" t="s">
        <v>138</v>
      </c>
      <c r="C119" s="55">
        <v>15</v>
      </c>
      <c r="D119" s="55">
        <v>3.1</v>
      </c>
      <c r="E119" s="55">
        <v>6.7</v>
      </c>
      <c r="F119" s="55">
        <v>116</v>
      </c>
      <c r="G119" s="55">
        <v>0</v>
      </c>
      <c r="H119" s="55">
        <v>0</v>
      </c>
      <c r="I119" s="55">
        <v>0</v>
      </c>
      <c r="J119" s="55">
        <v>0</v>
      </c>
      <c r="K119" s="1" t="s">
        <v>302</v>
      </c>
    </row>
    <row r="120" spans="1:11" x14ac:dyDescent="0.25">
      <c r="A120" s="2" t="s">
        <v>303</v>
      </c>
      <c r="B120" s="54" t="s">
        <v>129</v>
      </c>
      <c r="C120" s="55">
        <v>28.25</v>
      </c>
      <c r="D120" s="55">
        <v>12.25</v>
      </c>
      <c r="E120" s="55">
        <v>19.75</v>
      </c>
      <c r="F120" s="55">
        <v>305</v>
      </c>
      <c r="G120" s="55">
        <v>39.362499999999997</v>
      </c>
      <c r="H120" s="55">
        <v>55.4375</v>
      </c>
      <c r="I120" s="55">
        <v>2.7749999999999999</v>
      </c>
      <c r="J120" s="55">
        <v>11.3375</v>
      </c>
      <c r="K120" s="1" t="s">
        <v>304</v>
      </c>
    </row>
    <row r="121" spans="1:11" x14ac:dyDescent="0.25">
      <c r="A121" s="73" t="s">
        <v>507</v>
      </c>
      <c r="B121" s="54" t="s">
        <v>138</v>
      </c>
      <c r="C121" s="55">
        <v>21.6</v>
      </c>
      <c r="D121" s="55">
        <v>2.9</v>
      </c>
      <c r="E121" s="55">
        <v>3</v>
      </c>
      <c r="F121" s="55">
        <v>126</v>
      </c>
      <c r="G121" s="55">
        <v>16.399999999999999</v>
      </c>
      <c r="H121" s="55">
        <v>21.2</v>
      </c>
      <c r="I121" s="55">
        <v>1.4</v>
      </c>
      <c r="J121" s="55">
        <v>0.4</v>
      </c>
      <c r="K121" s="72" t="s">
        <v>508</v>
      </c>
    </row>
    <row r="122" spans="1:11" x14ac:dyDescent="0.25">
      <c r="A122" s="2" t="s">
        <v>305</v>
      </c>
      <c r="B122" s="54" t="s">
        <v>138</v>
      </c>
      <c r="C122" s="55">
        <v>23.05</v>
      </c>
      <c r="D122" s="55">
        <v>10.199999999999999</v>
      </c>
      <c r="E122" s="55">
        <v>5.35</v>
      </c>
      <c r="F122" s="55">
        <v>205.4</v>
      </c>
      <c r="G122" s="55">
        <v>28.55</v>
      </c>
      <c r="H122" s="55">
        <v>31.89</v>
      </c>
      <c r="I122" s="55">
        <v>0.87</v>
      </c>
      <c r="J122" s="55">
        <v>0.22</v>
      </c>
      <c r="K122" s="1" t="s">
        <v>306</v>
      </c>
    </row>
    <row r="123" spans="1:11" x14ac:dyDescent="0.25">
      <c r="A123" s="2" t="s">
        <v>307</v>
      </c>
      <c r="B123" s="54" t="s">
        <v>138</v>
      </c>
      <c r="C123" s="55">
        <v>16.632000000000001</v>
      </c>
      <c r="D123" s="55">
        <v>9.2720000000000002</v>
      </c>
      <c r="E123" s="55">
        <v>3.016</v>
      </c>
      <c r="F123" s="55">
        <v>161.97585599999999</v>
      </c>
      <c r="G123" s="55">
        <v>54.463999999999999</v>
      </c>
      <c r="H123" s="55">
        <v>28.36</v>
      </c>
      <c r="I123" s="55">
        <v>0.64800000000000002</v>
      </c>
      <c r="J123" s="55">
        <v>0.25600000000000001</v>
      </c>
      <c r="K123" s="1" t="s">
        <v>308</v>
      </c>
    </row>
    <row r="124" spans="1:11" x14ac:dyDescent="0.25">
      <c r="A124" s="2" t="s">
        <v>309</v>
      </c>
      <c r="B124" s="54" t="s">
        <v>138</v>
      </c>
      <c r="C124" s="55">
        <v>17.579999999999998</v>
      </c>
      <c r="D124" s="55">
        <v>6.03</v>
      </c>
      <c r="E124" s="55">
        <v>2.98</v>
      </c>
      <c r="F124" s="55">
        <v>136.45838000000001</v>
      </c>
      <c r="G124" s="55">
        <v>95.18</v>
      </c>
      <c r="H124" s="55">
        <v>66</v>
      </c>
      <c r="I124" s="55">
        <v>1.1100000000000001</v>
      </c>
      <c r="J124" s="55">
        <v>2.2999999999999998</v>
      </c>
      <c r="K124" s="1" t="s">
        <v>310</v>
      </c>
    </row>
    <row r="125" spans="1:11" x14ac:dyDescent="0.25">
      <c r="A125" s="2" t="s">
        <v>311</v>
      </c>
      <c r="B125" s="54" t="s">
        <v>138</v>
      </c>
      <c r="C125" s="55">
        <v>13.3</v>
      </c>
      <c r="D125" s="55">
        <v>2.9</v>
      </c>
      <c r="E125" s="55">
        <v>4.5</v>
      </c>
      <c r="F125" s="55">
        <v>97</v>
      </c>
      <c r="G125" s="55">
        <v>39.79</v>
      </c>
      <c r="H125" s="55">
        <v>45.74</v>
      </c>
      <c r="I125" s="55">
        <v>0.96</v>
      </c>
      <c r="J125" s="55">
        <v>0.62</v>
      </c>
      <c r="K125" s="1" t="s">
        <v>312</v>
      </c>
    </row>
    <row r="126" spans="1:11" x14ac:dyDescent="0.25">
      <c r="A126" s="2" t="s">
        <v>313</v>
      </c>
      <c r="B126" s="54" t="s">
        <v>138</v>
      </c>
      <c r="C126" s="55">
        <v>15.6</v>
      </c>
      <c r="D126" s="55">
        <v>7.4</v>
      </c>
      <c r="E126" s="55">
        <v>7.2</v>
      </c>
      <c r="F126" s="55">
        <v>160</v>
      </c>
      <c r="G126" s="55">
        <v>31.6892307692308</v>
      </c>
      <c r="H126" s="55">
        <v>44.243076923076899</v>
      </c>
      <c r="I126" s="55">
        <v>1.89230769230769</v>
      </c>
      <c r="J126" s="55">
        <v>1.3</v>
      </c>
      <c r="K126" s="1" t="s">
        <v>314</v>
      </c>
    </row>
    <row r="127" spans="1:11" x14ac:dyDescent="0.25">
      <c r="A127" s="2" t="s">
        <v>315</v>
      </c>
      <c r="B127" s="54" t="s">
        <v>138</v>
      </c>
      <c r="C127" s="55">
        <v>14.8</v>
      </c>
      <c r="D127" s="55">
        <v>3</v>
      </c>
      <c r="E127" s="55">
        <v>10</v>
      </c>
      <c r="F127" s="55">
        <v>126</v>
      </c>
      <c r="G127" s="55">
        <v>0</v>
      </c>
      <c r="H127" s="55">
        <v>0</v>
      </c>
      <c r="I127" s="55">
        <v>0</v>
      </c>
      <c r="J127" s="55">
        <v>0</v>
      </c>
      <c r="K127" s="1" t="s">
        <v>316</v>
      </c>
    </row>
    <row r="128" spans="1:11" ht="15" customHeight="1" x14ac:dyDescent="0.25">
      <c r="A128" s="73" t="s">
        <v>505</v>
      </c>
      <c r="B128" s="54" t="s">
        <v>118</v>
      </c>
      <c r="C128" s="55">
        <v>0.4</v>
      </c>
      <c r="D128" s="55">
        <v>0.2</v>
      </c>
      <c r="E128" s="55">
        <v>16.100000000000001</v>
      </c>
      <c r="F128" s="55">
        <v>69</v>
      </c>
      <c r="G128" s="55">
        <v>14.3</v>
      </c>
      <c r="H128" s="55">
        <v>8.4</v>
      </c>
      <c r="I128" s="55">
        <v>1</v>
      </c>
      <c r="J128" s="55">
        <v>1.7</v>
      </c>
      <c r="K128" s="72" t="s">
        <v>509</v>
      </c>
    </row>
    <row r="129" spans="1:11" x14ac:dyDescent="0.25">
      <c r="A129" s="2" t="s">
        <v>317</v>
      </c>
      <c r="B129" s="54">
        <v>200</v>
      </c>
      <c r="C129" s="55">
        <v>0.1</v>
      </c>
      <c r="D129" s="55">
        <v>0.1</v>
      </c>
      <c r="E129" s="55">
        <v>21.2</v>
      </c>
      <c r="F129" s="55">
        <v>83</v>
      </c>
      <c r="G129" s="55">
        <v>2.72</v>
      </c>
      <c r="H129" s="55">
        <v>0.67</v>
      </c>
      <c r="I129" s="55">
        <v>7.0000000000000007E-2</v>
      </c>
      <c r="J129" s="55">
        <v>0.6</v>
      </c>
      <c r="K129" s="1" t="s">
        <v>318</v>
      </c>
    </row>
    <row r="130" spans="1:11" x14ac:dyDescent="0.25">
      <c r="A130" s="2" t="s">
        <v>319</v>
      </c>
      <c r="B130" s="54">
        <v>200</v>
      </c>
      <c r="C130" s="55">
        <v>0.27</v>
      </c>
      <c r="D130" s="55">
        <v>1.23</v>
      </c>
      <c r="E130" s="55">
        <v>22.07</v>
      </c>
      <c r="F130" s="55">
        <v>96.622559999999993</v>
      </c>
      <c r="G130" s="55">
        <v>5.88</v>
      </c>
      <c r="H130" s="55">
        <v>7.2</v>
      </c>
      <c r="I130" s="55">
        <v>0.4</v>
      </c>
      <c r="J130" s="55">
        <v>24</v>
      </c>
      <c r="K130" s="1" t="s">
        <v>320</v>
      </c>
    </row>
    <row r="131" spans="1:11" x14ac:dyDescent="0.25">
      <c r="A131" s="2" t="s">
        <v>321</v>
      </c>
      <c r="B131" s="54">
        <v>200</v>
      </c>
      <c r="C131" s="55">
        <v>0.2</v>
      </c>
      <c r="D131" s="55">
        <v>0.1</v>
      </c>
      <c r="E131" s="55">
        <v>20.9</v>
      </c>
      <c r="F131" s="55">
        <v>82</v>
      </c>
      <c r="G131" s="55">
        <v>3.43</v>
      </c>
      <c r="H131" s="55">
        <v>2.65</v>
      </c>
      <c r="I131" s="55">
        <v>0.14000000000000001</v>
      </c>
      <c r="J131" s="55">
        <v>7.2</v>
      </c>
      <c r="K131" s="1" t="s">
        <v>322</v>
      </c>
    </row>
    <row r="132" spans="1:11" x14ac:dyDescent="0.25">
      <c r="A132" s="2" t="s">
        <v>323</v>
      </c>
      <c r="B132" s="54">
        <v>200</v>
      </c>
      <c r="C132" s="55">
        <v>1.6</v>
      </c>
      <c r="D132" s="55">
        <v>1.6</v>
      </c>
      <c r="E132" s="55">
        <v>17.3</v>
      </c>
      <c r="F132" s="55">
        <v>87</v>
      </c>
      <c r="G132" s="55">
        <v>39.5</v>
      </c>
      <c r="H132" s="55">
        <v>191.4</v>
      </c>
      <c r="I132" s="55">
        <v>3.48</v>
      </c>
      <c r="J132" s="55">
        <v>2.2000000000000002</v>
      </c>
      <c r="K132" s="1" t="s">
        <v>324</v>
      </c>
    </row>
    <row r="133" spans="1:11" x14ac:dyDescent="0.25">
      <c r="A133" s="2" t="s">
        <v>325</v>
      </c>
      <c r="B133" s="54">
        <v>200</v>
      </c>
      <c r="C133" s="55">
        <v>0.28000000000000003</v>
      </c>
      <c r="D133" s="55">
        <v>1.23</v>
      </c>
      <c r="E133" s="55">
        <v>27.23</v>
      </c>
      <c r="F133" s="55">
        <v>121.12296000000001</v>
      </c>
      <c r="G133" s="55">
        <v>9.48</v>
      </c>
      <c r="H133" s="55">
        <v>7.2</v>
      </c>
      <c r="I133" s="55">
        <v>0.4</v>
      </c>
      <c r="J133" s="55">
        <v>12</v>
      </c>
      <c r="K133" s="1" t="s">
        <v>326</v>
      </c>
    </row>
    <row r="134" spans="1:11" x14ac:dyDescent="0.25">
      <c r="A134" s="2" t="s">
        <v>58</v>
      </c>
      <c r="B134" s="54">
        <v>200</v>
      </c>
      <c r="C134" s="55">
        <v>0.11</v>
      </c>
      <c r="D134" s="55">
        <v>0.08</v>
      </c>
      <c r="E134" s="55">
        <v>24.85</v>
      </c>
      <c r="F134" s="55">
        <v>100.56444</v>
      </c>
      <c r="G134" s="55">
        <v>4.68</v>
      </c>
      <c r="H134" s="55">
        <v>2.94</v>
      </c>
      <c r="I134" s="55">
        <v>0.48</v>
      </c>
      <c r="J134" s="55">
        <v>0.8</v>
      </c>
      <c r="K134" s="1" t="s">
        <v>327</v>
      </c>
    </row>
    <row r="135" spans="1:11" x14ac:dyDescent="0.25">
      <c r="A135" s="2" t="s">
        <v>328</v>
      </c>
      <c r="B135" s="54">
        <v>200</v>
      </c>
      <c r="C135" s="55">
        <v>0.1</v>
      </c>
      <c r="D135" s="55">
        <v>0</v>
      </c>
      <c r="E135" s="55">
        <v>19.2</v>
      </c>
      <c r="F135" s="55">
        <v>74</v>
      </c>
      <c r="G135" s="55">
        <v>2.95</v>
      </c>
      <c r="H135" s="55">
        <v>1.85</v>
      </c>
      <c r="I135" s="55">
        <v>0.06</v>
      </c>
      <c r="J135" s="55">
        <v>0.45</v>
      </c>
      <c r="K135" s="1" t="s">
        <v>329</v>
      </c>
    </row>
    <row r="136" spans="1:11" x14ac:dyDescent="0.25">
      <c r="A136" s="2" t="s">
        <v>330</v>
      </c>
      <c r="B136" s="54">
        <v>200</v>
      </c>
      <c r="C136" s="55">
        <v>0.17</v>
      </c>
      <c r="D136" s="55">
        <v>0.1</v>
      </c>
      <c r="E136" s="55">
        <v>20.97</v>
      </c>
      <c r="F136" s="55">
        <v>85.481160000000003</v>
      </c>
      <c r="G136" s="55">
        <v>8.4</v>
      </c>
      <c r="H136" s="55">
        <v>3</v>
      </c>
      <c r="I136" s="55">
        <v>0.25</v>
      </c>
      <c r="J136" s="55">
        <v>2.7</v>
      </c>
      <c r="K136" s="1" t="s">
        <v>331</v>
      </c>
    </row>
    <row r="137" spans="1:11" x14ac:dyDescent="0.25">
      <c r="A137" s="2" t="s">
        <v>332</v>
      </c>
      <c r="B137" s="54">
        <v>200</v>
      </c>
      <c r="C137" s="55">
        <v>0.16</v>
      </c>
      <c r="D137" s="55">
        <v>0.11</v>
      </c>
      <c r="E137" s="55">
        <v>21.05</v>
      </c>
      <c r="F137" s="55">
        <v>85.861199999999997</v>
      </c>
      <c r="G137" s="55">
        <v>6.6</v>
      </c>
      <c r="H137" s="55">
        <v>1.68</v>
      </c>
      <c r="I137" s="55">
        <v>0.16</v>
      </c>
      <c r="J137" s="55">
        <v>0.9</v>
      </c>
      <c r="K137" s="1" t="s">
        <v>333</v>
      </c>
    </row>
    <row r="138" spans="1:11" x14ac:dyDescent="0.25">
      <c r="A138" s="2" t="s">
        <v>334</v>
      </c>
      <c r="B138" s="54" t="s">
        <v>118</v>
      </c>
      <c r="C138" s="55">
        <v>0.1</v>
      </c>
      <c r="D138" s="55">
        <v>0</v>
      </c>
      <c r="E138" s="55">
        <v>20.399999999999999</v>
      </c>
      <c r="F138" s="55">
        <v>82</v>
      </c>
      <c r="G138" s="55">
        <v>3.8</v>
      </c>
      <c r="H138" s="55">
        <v>3.4</v>
      </c>
      <c r="I138" s="55">
        <v>0.2</v>
      </c>
      <c r="J138" s="55">
        <v>1.4</v>
      </c>
      <c r="K138" s="1" t="s">
        <v>335</v>
      </c>
    </row>
    <row r="139" spans="1:11" x14ac:dyDescent="0.25">
      <c r="A139" s="2" t="s">
        <v>336</v>
      </c>
      <c r="B139" s="54" t="s">
        <v>118</v>
      </c>
      <c r="C139" s="55">
        <v>0.18</v>
      </c>
      <c r="D139" s="55">
        <v>0.09</v>
      </c>
      <c r="E139" s="55">
        <v>21.32</v>
      </c>
      <c r="F139" s="55">
        <v>86.841920000000002</v>
      </c>
      <c r="G139" s="55">
        <v>10.199999999999999</v>
      </c>
      <c r="H139" s="55">
        <v>4.32</v>
      </c>
      <c r="I139" s="55">
        <v>0.35</v>
      </c>
      <c r="J139" s="55">
        <v>3.6</v>
      </c>
      <c r="K139" s="1" t="s">
        <v>337</v>
      </c>
    </row>
    <row r="140" spans="1:11" x14ac:dyDescent="0.25">
      <c r="A140" s="2" t="s">
        <v>338</v>
      </c>
      <c r="B140" s="54" t="s">
        <v>118</v>
      </c>
      <c r="C140" s="55">
        <v>5.6</v>
      </c>
      <c r="D140" s="55">
        <v>5</v>
      </c>
      <c r="E140" s="55">
        <v>22</v>
      </c>
      <c r="F140" s="55">
        <v>156</v>
      </c>
      <c r="G140" s="55">
        <v>0</v>
      </c>
      <c r="H140" s="55">
        <v>0</v>
      </c>
      <c r="I140" s="55">
        <v>0</v>
      </c>
      <c r="J140" s="55">
        <v>0</v>
      </c>
      <c r="K140" s="1" t="s">
        <v>339</v>
      </c>
    </row>
    <row r="141" spans="1:11" x14ac:dyDescent="0.25">
      <c r="A141" s="2" t="s">
        <v>340</v>
      </c>
      <c r="B141" s="54" t="s">
        <v>118</v>
      </c>
      <c r="C141" s="55">
        <v>0.11</v>
      </c>
      <c r="D141" s="55">
        <v>0.04</v>
      </c>
      <c r="E141" s="55">
        <v>21.25</v>
      </c>
      <c r="F141" s="55">
        <v>85.841149999999999</v>
      </c>
      <c r="G141" s="55">
        <v>6.15</v>
      </c>
      <c r="H141" s="55">
        <v>1.8</v>
      </c>
      <c r="I141" s="55">
        <v>0.08</v>
      </c>
      <c r="J141" s="55">
        <v>2</v>
      </c>
      <c r="K141" s="1" t="s">
        <v>341</v>
      </c>
    </row>
    <row r="142" spans="1:11" x14ac:dyDescent="0.25">
      <c r="A142" s="2" t="s">
        <v>342</v>
      </c>
      <c r="B142" s="54">
        <v>200</v>
      </c>
      <c r="C142" s="55">
        <v>3.6</v>
      </c>
      <c r="D142" s="55">
        <v>2.7</v>
      </c>
      <c r="E142" s="55">
        <v>22.9</v>
      </c>
      <c r="F142" s="55">
        <v>127</v>
      </c>
      <c r="G142" s="55">
        <v>55.32</v>
      </c>
      <c r="H142" s="55">
        <v>13.49</v>
      </c>
      <c r="I142" s="55">
        <v>0.45</v>
      </c>
      <c r="J142" s="55">
        <v>0.26</v>
      </c>
      <c r="K142" s="1" t="s">
        <v>343</v>
      </c>
    </row>
    <row r="143" spans="1:11" x14ac:dyDescent="0.25">
      <c r="A143" s="2" t="s">
        <v>344</v>
      </c>
      <c r="B143" s="54">
        <v>200</v>
      </c>
      <c r="C143" s="55">
        <v>1</v>
      </c>
      <c r="D143" s="55">
        <v>0.1</v>
      </c>
      <c r="E143" s="55">
        <v>29.5</v>
      </c>
      <c r="F143" s="55">
        <v>118</v>
      </c>
      <c r="G143" s="55">
        <v>15.81</v>
      </c>
      <c r="H143" s="55">
        <v>9.98</v>
      </c>
      <c r="I143" s="55">
        <v>0.34</v>
      </c>
      <c r="J143" s="55">
        <v>0.16</v>
      </c>
      <c r="K143" s="1" t="s">
        <v>345</v>
      </c>
    </row>
    <row r="144" spans="1:11" x14ac:dyDescent="0.25">
      <c r="A144" s="2" t="s">
        <v>346</v>
      </c>
      <c r="B144" s="54">
        <v>200</v>
      </c>
      <c r="C144" s="55">
        <v>0.8</v>
      </c>
      <c r="D144" s="55">
        <v>0.3</v>
      </c>
      <c r="E144" s="55">
        <v>30.9</v>
      </c>
      <c r="F144" s="55">
        <v>128</v>
      </c>
      <c r="G144" s="55">
        <v>7.28</v>
      </c>
      <c r="H144" s="55">
        <v>1.94</v>
      </c>
      <c r="I144" s="55">
        <v>0.38</v>
      </c>
      <c r="J144" s="55">
        <v>48</v>
      </c>
      <c r="K144" s="1" t="s">
        <v>347</v>
      </c>
    </row>
    <row r="145" spans="1:11" x14ac:dyDescent="0.25">
      <c r="A145" s="2" t="s">
        <v>348</v>
      </c>
      <c r="B145" s="54">
        <v>200</v>
      </c>
      <c r="C145" s="55">
        <v>0.2</v>
      </c>
      <c r="D145" s="55">
        <v>0.1</v>
      </c>
      <c r="E145" s="55">
        <v>13.9</v>
      </c>
      <c r="F145" s="55">
        <v>55</v>
      </c>
      <c r="G145" s="55">
        <v>1.43</v>
      </c>
      <c r="H145" s="55">
        <v>0.37</v>
      </c>
      <c r="I145" s="55">
        <v>0.04</v>
      </c>
      <c r="J145" s="55">
        <v>0.56000000000000005</v>
      </c>
      <c r="K145" s="1" t="s">
        <v>349</v>
      </c>
    </row>
    <row r="146" spans="1:11" x14ac:dyDescent="0.25">
      <c r="A146" s="2" t="s">
        <v>350</v>
      </c>
      <c r="B146" s="54">
        <v>1000</v>
      </c>
      <c r="C146" s="55">
        <v>3.8</v>
      </c>
      <c r="D146" s="55">
        <v>0.9</v>
      </c>
      <c r="E146" s="55">
        <v>0.7</v>
      </c>
      <c r="F146" s="55">
        <v>26</v>
      </c>
      <c r="G146" s="55">
        <v>0</v>
      </c>
      <c r="H146" s="55">
        <v>0</v>
      </c>
      <c r="I146" s="55">
        <v>0</v>
      </c>
      <c r="J146" s="55">
        <v>0</v>
      </c>
      <c r="K146" s="1" t="s">
        <v>351</v>
      </c>
    </row>
    <row r="147" spans="1:11" x14ac:dyDescent="0.25">
      <c r="A147" s="2" t="s">
        <v>352</v>
      </c>
      <c r="B147" s="54">
        <v>200</v>
      </c>
      <c r="C147" s="55">
        <v>0.2</v>
      </c>
      <c r="D147" s="55">
        <v>0</v>
      </c>
      <c r="E147" s="55">
        <v>13.7</v>
      </c>
      <c r="F147" s="55">
        <v>53</v>
      </c>
      <c r="G147" s="55">
        <v>0.2</v>
      </c>
      <c r="H147" s="55">
        <v>0</v>
      </c>
      <c r="I147" s="55">
        <v>0.02</v>
      </c>
      <c r="J147" s="55">
        <v>0</v>
      </c>
      <c r="K147" s="1" t="s">
        <v>353</v>
      </c>
    </row>
    <row r="148" spans="1:11" x14ac:dyDescent="0.25">
      <c r="A148" s="2" t="s">
        <v>64</v>
      </c>
      <c r="B148" s="54">
        <v>200</v>
      </c>
      <c r="C148" s="55">
        <v>0.2</v>
      </c>
      <c r="D148" s="55">
        <v>0.1</v>
      </c>
      <c r="E148" s="55">
        <v>31.9</v>
      </c>
      <c r="F148" s="55">
        <v>129</v>
      </c>
      <c r="G148" s="55">
        <v>12.6</v>
      </c>
      <c r="H148" s="55">
        <v>7.1</v>
      </c>
      <c r="I148" s="55">
        <v>0.4</v>
      </c>
      <c r="J148" s="55">
        <v>19.2</v>
      </c>
      <c r="K148" s="1" t="s">
        <v>354</v>
      </c>
    </row>
    <row r="149" spans="1:11" x14ac:dyDescent="0.25">
      <c r="A149" s="2" t="s">
        <v>355</v>
      </c>
      <c r="B149" s="54">
        <v>200</v>
      </c>
      <c r="C149" s="55">
        <v>0.4</v>
      </c>
      <c r="D149" s="55">
        <v>0</v>
      </c>
      <c r="E149" s="55">
        <v>32.5</v>
      </c>
      <c r="F149" s="55">
        <v>126</v>
      </c>
      <c r="G149" s="55">
        <v>0.6</v>
      </c>
      <c r="H149" s="55">
        <v>0</v>
      </c>
      <c r="I149" s="55">
        <v>0.1</v>
      </c>
      <c r="J149" s="55">
        <v>0</v>
      </c>
      <c r="K149" s="1" t="s">
        <v>356</v>
      </c>
    </row>
    <row r="150" spans="1:11" x14ac:dyDescent="0.25">
      <c r="A150" s="2" t="s">
        <v>357</v>
      </c>
      <c r="B150" s="54" t="s">
        <v>118</v>
      </c>
      <c r="C150" s="55">
        <v>1.4</v>
      </c>
      <c r="D150" s="55">
        <v>1.1000000000000001</v>
      </c>
      <c r="E150" s="55">
        <v>16.600000000000001</v>
      </c>
      <c r="F150" s="55">
        <v>79</v>
      </c>
      <c r="G150" s="55">
        <v>26.6</v>
      </c>
      <c r="H150" s="55">
        <v>3.05</v>
      </c>
      <c r="I150" s="55">
        <v>0.04</v>
      </c>
      <c r="J150" s="55">
        <v>0.13</v>
      </c>
      <c r="K150" s="1" t="s">
        <v>358</v>
      </c>
    </row>
    <row r="151" spans="1:11" x14ac:dyDescent="0.25">
      <c r="A151" s="2" t="s">
        <v>359</v>
      </c>
      <c r="B151" s="54" t="s">
        <v>118</v>
      </c>
      <c r="C151" s="55">
        <v>5.9</v>
      </c>
      <c r="D151" s="55">
        <v>6.8</v>
      </c>
      <c r="E151" s="55">
        <v>9.9</v>
      </c>
      <c r="F151" s="55">
        <v>123</v>
      </c>
      <c r="G151" s="55">
        <v>0</v>
      </c>
      <c r="H151" s="55">
        <v>0</v>
      </c>
      <c r="I151" s="55">
        <v>0</v>
      </c>
      <c r="J151" s="55">
        <v>0</v>
      </c>
      <c r="K151" s="1" t="s">
        <v>360</v>
      </c>
    </row>
    <row r="152" spans="1:11" x14ac:dyDescent="0.25">
      <c r="A152" s="2" t="s">
        <v>361</v>
      </c>
      <c r="B152" s="54" t="s">
        <v>118</v>
      </c>
      <c r="C152" s="55">
        <v>5.6</v>
      </c>
      <c r="D152" s="55">
        <v>6.4</v>
      </c>
      <c r="E152" s="55">
        <v>8.1999999999999993</v>
      </c>
      <c r="F152" s="55">
        <v>117</v>
      </c>
      <c r="G152" s="55">
        <v>0</v>
      </c>
      <c r="H152" s="55">
        <v>0</v>
      </c>
      <c r="I152" s="55">
        <v>0</v>
      </c>
      <c r="J152" s="55">
        <v>0</v>
      </c>
      <c r="K152" s="1" t="s">
        <v>362</v>
      </c>
    </row>
    <row r="153" spans="1:11" x14ac:dyDescent="0.25">
      <c r="A153" s="2" t="s">
        <v>363</v>
      </c>
      <c r="B153" s="54" t="s">
        <v>118</v>
      </c>
      <c r="C153" s="55">
        <v>6</v>
      </c>
      <c r="D153" s="55">
        <v>12</v>
      </c>
      <c r="E153" s="55">
        <v>8.1999999999999993</v>
      </c>
      <c r="F153" s="55">
        <v>169</v>
      </c>
      <c r="G153" s="55">
        <v>0</v>
      </c>
      <c r="H153" s="55">
        <v>0</v>
      </c>
      <c r="I153" s="55">
        <v>0</v>
      </c>
      <c r="J153" s="55">
        <v>0</v>
      </c>
      <c r="K153" s="1" t="s">
        <v>364</v>
      </c>
    </row>
    <row r="154" spans="1:11" x14ac:dyDescent="0.25">
      <c r="A154" s="2" t="s">
        <v>365</v>
      </c>
      <c r="B154" s="54" t="s">
        <v>118</v>
      </c>
      <c r="C154" s="55">
        <v>0.1</v>
      </c>
      <c r="D154" s="55">
        <v>0</v>
      </c>
      <c r="E154" s="55">
        <v>17.2</v>
      </c>
      <c r="F154" s="55">
        <v>73</v>
      </c>
      <c r="G154" s="55">
        <v>12</v>
      </c>
      <c r="H154" s="55">
        <v>11</v>
      </c>
      <c r="I154" s="55">
        <v>0.1</v>
      </c>
      <c r="J154" s="55">
        <v>18</v>
      </c>
      <c r="K154" s="1" t="s">
        <v>366</v>
      </c>
    </row>
    <row r="155" spans="1:11" x14ac:dyDescent="0.25">
      <c r="A155" s="2" t="s">
        <v>367</v>
      </c>
      <c r="B155" s="54" t="s">
        <v>118</v>
      </c>
      <c r="C155" s="55">
        <v>1</v>
      </c>
      <c r="D155" s="55">
        <v>0.1</v>
      </c>
      <c r="E155" s="55">
        <v>19.8</v>
      </c>
      <c r="F155" s="55">
        <v>81</v>
      </c>
      <c r="G155" s="55">
        <v>15.67</v>
      </c>
      <c r="H155" s="55">
        <v>9.98</v>
      </c>
      <c r="I155" s="55">
        <v>0.32</v>
      </c>
      <c r="J155" s="55">
        <v>0.16</v>
      </c>
      <c r="K155" s="1" t="s">
        <v>368</v>
      </c>
    </row>
    <row r="156" spans="1:11" x14ac:dyDescent="0.25">
      <c r="A156" s="63" t="s">
        <v>489</v>
      </c>
      <c r="B156" s="54">
        <v>200</v>
      </c>
      <c r="C156" s="55">
        <v>0.2</v>
      </c>
      <c r="D156" s="55">
        <v>0.2</v>
      </c>
      <c r="E156" s="55">
        <v>25.3</v>
      </c>
      <c r="F156" s="55">
        <v>103</v>
      </c>
      <c r="G156" s="55">
        <v>9.9</v>
      </c>
      <c r="H156" s="55">
        <v>5.0999999999999996</v>
      </c>
      <c r="I156" s="55">
        <v>1.3</v>
      </c>
      <c r="J156" s="55">
        <v>2.4</v>
      </c>
      <c r="K156" s="62" t="s">
        <v>486</v>
      </c>
    </row>
    <row r="157" spans="1:11" x14ac:dyDescent="0.25">
      <c r="A157" s="73" t="s">
        <v>499</v>
      </c>
      <c r="B157" s="54" t="s">
        <v>118</v>
      </c>
      <c r="C157" s="55">
        <v>0.2</v>
      </c>
      <c r="D157" s="55">
        <v>0</v>
      </c>
      <c r="E157" s="55">
        <v>13.7</v>
      </c>
      <c r="F157" s="55">
        <v>53</v>
      </c>
      <c r="G157" s="55">
        <v>0.4</v>
      </c>
      <c r="H157" s="55">
        <v>0</v>
      </c>
      <c r="I157" s="55">
        <v>0</v>
      </c>
      <c r="J157" s="55">
        <v>0</v>
      </c>
      <c r="K157" s="74" t="s">
        <v>506</v>
      </c>
    </row>
    <row r="158" spans="1:11" x14ac:dyDescent="0.25">
      <c r="A158" s="2" t="s">
        <v>369</v>
      </c>
      <c r="B158" s="54" t="s">
        <v>138</v>
      </c>
      <c r="C158" s="55">
        <v>0.6</v>
      </c>
      <c r="D158" s="55">
        <v>0.3</v>
      </c>
      <c r="E158" s="55">
        <v>25.8</v>
      </c>
      <c r="F158" s="55">
        <v>106</v>
      </c>
      <c r="G158" s="55">
        <v>10.050000000000001</v>
      </c>
      <c r="H158" s="55">
        <v>3.05</v>
      </c>
      <c r="I158" s="55">
        <v>0.42</v>
      </c>
      <c r="J158" s="55">
        <v>2.14</v>
      </c>
      <c r="K158" s="1" t="s">
        <v>370</v>
      </c>
    </row>
    <row r="159" spans="1:11" x14ac:dyDescent="0.25">
      <c r="A159" s="2" t="s">
        <v>371</v>
      </c>
      <c r="B159" s="54" t="s">
        <v>138</v>
      </c>
      <c r="C159" s="55">
        <v>0.5</v>
      </c>
      <c r="D159" s="55">
        <v>0.3</v>
      </c>
      <c r="E159" s="55">
        <v>28.6</v>
      </c>
      <c r="F159" s="55">
        <v>116</v>
      </c>
      <c r="G159" s="55">
        <v>24.7</v>
      </c>
      <c r="H159" s="55">
        <v>12.33</v>
      </c>
      <c r="I159" s="55">
        <v>0.75</v>
      </c>
      <c r="J159" s="55">
        <v>5.9</v>
      </c>
      <c r="K159" s="1" t="s">
        <v>372</v>
      </c>
    </row>
    <row r="160" spans="1:11" x14ac:dyDescent="0.25">
      <c r="A160" s="2" t="s">
        <v>373</v>
      </c>
      <c r="B160" s="54" t="s">
        <v>138</v>
      </c>
      <c r="C160" s="55">
        <v>0.47</v>
      </c>
      <c r="D160" s="55">
        <v>0.21</v>
      </c>
      <c r="E160" s="55">
        <v>25.66</v>
      </c>
      <c r="F160" s="55">
        <v>106.3994</v>
      </c>
      <c r="G160" s="55">
        <v>24.89</v>
      </c>
      <c r="H160" s="55">
        <v>10.3</v>
      </c>
      <c r="I160" s="55">
        <v>0.75</v>
      </c>
      <c r="J160" s="55">
        <v>14.16</v>
      </c>
      <c r="K160" s="1" t="s">
        <v>374</v>
      </c>
    </row>
    <row r="161" spans="1:11" x14ac:dyDescent="0.25">
      <c r="A161" s="2" t="s">
        <v>375</v>
      </c>
      <c r="B161" s="54" t="s">
        <v>138</v>
      </c>
      <c r="C161" s="55">
        <v>1</v>
      </c>
      <c r="D161" s="55">
        <v>1.8</v>
      </c>
      <c r="E161" s="55">
        <v>6.4</v>
      </c>
      <c r="F161" s="55">
        <v>46</v>
      </c>
      <c r="G161" s="55">
        <v>7.24</v>
      </c>
      <c r="H161" s="55">
        <v>8.39</v>
      </c>
      <c r="I161" s="55">
        <v>0.32</v>
      </c>
      <c r="J161" s="55">
        <v>1.34</v>
      </c>
      <c r="K161" s="1" t="s">
        <v>376</v>
      </c>
    </row>
    <row r="162" spans="1:11" x14ac:dyDescent="0.25">
      <c r="A162" s="2" t="s">
        <v>377</v>
      </c>
      <c r="B162" s="54" t="s">
        <v>138</v>
      </c>
      <c r="C162" s="55">
        <v>2.6</v>
      </c>
      <c r="D162" s="55">
        <v>5.3</v>
      </c>
      <c r="E162" s="55">
        <v>5.9</v>
      </c>
      <c r="F162" s="55">
        <v>83</v>
      </c>
      <c r="G162" s="55">
        <v>24.41</v>
      </c>
      <c r="H162" s="55">
        <v>5.12</v>
      </c>
      <c r="I162" s="55">
        <v>0.25</v>
      </c>
      <c r="J162" s="55">
        <v>0.11</v>
      </c>
      <c r="K162" s="1" t="s">
        <v>378</v>
      </c>
    </row>
    <row r="163" spans="1:11" x14ac:dyDescent="0.25">
      <c r="A163" s="2" t="s">
        <v>379</v>
      </c>
      <c r="B163" s="54" t="s">
        <v>138</v>
      </c>
      <c r="C163" s="55">
        <v>3</v>
      </c>
      <c r="D163" s="55">
        <v>5.53</v>
      </c>
      <c r="E163" s="55">
        <v>7.51</v>
      </c>
      <c r="F163" s="55">
        <v>91.9</v>
      </c>
      <c r="G163" s="55">
        <v>84.41</v>
      </c>
      <c r="H163" s="55">
        <v>10.66</v>
      </c>
      <c r="I163" s="55">
        <v>0.19</v>
      </c>
      <c r="J163" s="55">
        <v>0.41</v>
      </c>
      <c r="K163" s="1" t="s">
        <v>380</v>
      </c>
    </row>
    <row r="164" spans="1:11" x14ac:dyDescent="0.25">
      <c r="A164" s="2" t="s">
        <v>381</v>
      </c>
      <c r="B164" s="54" t="s">
        <v>138</v>
      </c>
      <c r="C164" s="55">
        <v>3.15</v>
      </c>
      <c r="D164" s="55">
        <v>16.61</v>
      </c>
      <c r="E164" s="55">
        <v>5.9</v>
      </c>
      <c r="F164" s="55">
        <v>185.69</v>
      </c>
      <c r="G164" s="55">
        <v>88.49</v>
      </c>
      <c r="H164" s="55">
        <v>9.9499999999999993</v>
      </c>
      <c r="I164" s="55">
        <v>0.28000000000000003</v>
      </c>
      <c r="J164" s="55">
        <v>0.27</v>
      </c>
      <c r="K164" s="1" t="s">
        <v>382</v>
      </c>
    </row>
    <row r="165" spans="1:11" x14ac:dyDescent="0.25">
      <c r="A165" s="2" t="s">
        <v>383</v>
      </c>
      <c r="B165" s="54" t="s">
        <v>138</v>
      </c>
      <c r="C165" s="55">
        <v>0</v>
      </c>
      <c r="D165" s="55">
        <v>0</v>
      </c>
      <c r="E165" s="55">
        <v>0</v>
      </c>
      <c r="F165" s="55">
        <v>0</v>
      </c>
      <c r="G165" s="55">
        <v>0</v>
      </c>
      <c r="H165" s="55">
        <v>0</v>
      </c>
      <c r="I165" s="55">
        <v>0</v>
      </c>
      <c r="J165" s="55">
        <v>0</v>
      </c>
      <c r="K165" s="1" t="s">
        <v>384</v>
      </c>
    </row>
    <row r="166" spans="1:11" x14ac:dyDescent="0.25">
      <c r="A166" s="2" t="s">
        <v>385</v>
      </c>
      <c r="B166" s="54" t="s">
        <v>138</v>
      </c>
      <c r="C166" s="55">
        <v>0.6</v>
      </c>
      <c r="D166" s="55">
        <v>0</v>
      </c>
      <c r="E166" s="55">
        <v>0</v>
      </c>
      <c r="F166" s="55">
        <v>254</v>
      </c>
      <c r="G166" s="55">
        <v>0</v>
      </c>
      <c r="H166" s="55">
        <v>0</v>
      </c>
      <c r="I166" s="55">
        <v>0</v>
      </c>
      <c r="J166" s="55">
        <v>0</v>
      </c>
      <c r="K166" s="1" t="s">
        <v>386</v>
      </c>
    </row>
    <row r="167" spans="1:11" x14ac:dyDescent="0.25">
      <c r="A167" s="2" t="s">
        <v>387</v>
      </c>
      <c r="B167" s="54" t="s">
        <v>138</v>
      </c>
      <c r="C167" s="55">
        <v>2.6</v>
      </c>
      <c r="D167" s="55">
        <v>5.8</v>
      </c>
      <c r="E167" s="55">
        <v>16.2</v>
      </c>
      <c r="F167" s="55">
        <v>124</v>
      </c>
      <c r="G167" s="55">
        <v>0</v>
      </c>
      <c r="H167" s="55">
        <v>0</v>
      </c>
      <c r="I167" s="55">
        <v>0</v>
      </c>
      <c r="J167" s="55">
        <v>0</v>
      </c>
      <c r="K167" s="1" t="s">
        <v>388</v>
      </c>
    </row>
    <row r="168" spans="1:11" x14ac:dyDescent="0.25">
      <c r="A168" s="2" t="s">
        <v>389</v>
      </c>
      <c r="B168" s="54" t="s">
        <v>138</v>
      </c>
      <c r="C168" s="55">
        <v>5.4</v>
      </c>
      <c r="D168" s="55">
        <v>4.7</v>
      </c>
      <c r="E168" s="55">
        <v>42.1</v>
      </c>
      <c r="F168" s="55">
        <v>226</v>
      </c>
      <c r="G168" s="55">
        <v>134.71</v>
      </c>
      <c r="H168" s="55">
        <v>50.43</v>
      </c>
      <c r="I168" s="55">
        <v>2.0499999999999998</v>
      </c>
      <c r="J168" s="55">
        <v>0.18</v>
      </c>
      <c r="K168" s="1" t="s">
        <v>390</v>
      </c>
    </row>
    <row r="169" spans="1:11" x14ac:dyDescent="0.25">
      <c r="A169" s="2" t="s">
        <v>391</v>
      </c>
      <c r="B169" s="54" t="s">
        <v>138</v>
      </c>
      <c r="C169" s="55">
        <v>7.2</v>
      </c>
      <c r="D169" s="55">
        <v>8.5</v>
      </c>
      <c r="E169" s="55">
        <v>55.5</v>
      </c>
      <c r="F169" s="55">
        <v>327.3</v>
      </c>
      <c r="G169" s="55">
        <v>307</v>
      </c>
      <c r="H169" s="55">
        <v>34</v>
      </c>
      <c r="I169" s="55">
        <v>0.2</v>
      </c>
      <c r="J169" s="55">
        <v>0</v>
      </c>
      <c r="K169" s="1" t="s">
        <v>392</v>
      </c>
    </row>
    <row r="170" spans="1:11" x14ac:dyDescent="0.25">
      <c r="A170" s="67" t="s">
        <v>497</v>
      </c>
      <c r="B170" s="54" t="s">
        <v>138</v>
      </c>
      <c r="C170" s="55">
        <v>0.4</v>
      </c>
      <c r="D170" s="55">
        <v>0.3</v>
      </c>
      <c r="E170" s="55">
        <v>26.1</v>
      </c>
      <c r="F170" s="55">
        <v>109</v>
      </c>
      <c r="G170" s="55">
        <v>14.7</v>
      </c>
      <c r="H170" s="55">
        <v>0</v>
      </c>
      <c r="I170" s="55">
        <v>0.3</v>
      </c>
      <c r="J170" s="55">
        <v>3.2</v>
      </c>
      <c r="K170" s="66" t="s">
        <v>498</v>
      </c>
    </row>
    <row r="171" spans="1:11" x14ac:dyDescent="0.25">
      <c r="A171" s="2" t="s">
        <v>393</v>
      </c>
      <c r="B171" s="54" t="s">
        <v>394</v>
      </c>
      <c r="C171" s="55">
        <v>6.6</v>
      </c>
      <c r="D171" s="55">
        <v>8.25</v>
      </c>
      <c r="E171" s="55">
        <v>46.2</v>
      </c>
      <c r="F171" s="55">
        <v>280.5</v>
      </c>
      <c r="G171" s="55">
        <v>12.44</v>
      </c>
      <c r="H171" s="55">
        <v>0.18</v>
      </c>
      <c r="I171" s="55">
        <v>0.04</v>
      </c>
      <c r="J171" s="55">
        <v>11</v>
      </c>
      <c r="K171" s="1" t="s">
        <v>395</v>
      </c>
    </row>
    <row r="172" spans="1:11" x14ac:dyDescent="0.25">
      <c r="A172" s="2" t="s">
        <v>396</v>
      </c>
      <c r="B172" s="54" t="s">
        <v>397</v>
      </c>
      <c r="C172" s="55">
        <v>3.49</v>
      </c>
      <c r="D172" s="55">
        <v>7.06</v>
      </c>
      <c r="E172" s="55">
        <v>27.96</v>
      </c>
      <c r="F172" s="55">
        <v>189.36846800000001</v>
      </c>
      <c r="G172" s="55">
        <v>5.17</v>
      </c>
      <c r="H172" s="55">
        <v>2.2999999999999998</v>
      </c>
      <c r="I172" s="55">
        <v>0.53</v>
      </c>
      <c r="J172" s="55">
        <v>0.42</v>
      </c>
      <c r="K172" s="1" t="s">
        <v>398</v>
      </c>
    </row>
    <row r="173" spans="1:11" x14ac:dyDescent="0.25">
      <c r="A173" s="2" t="s">
        <v>399</v>
      </c>
      <c r="B173" s="54" t="s">
        <v>397</v>
      </c>
      <c r="C173" s="55">
        <v>3.48</v>
      </c>
      <c r="D173" s="55">
        <v>6.97</v>
      </c>
      <c r="E173" s="55">
        <v>37.64</v>
      </c>
      <c r="F173" s="55">
        <v>227.15173999999999</v>
      </c>
      <c r="G173" s="55">
        <v>3.97</v>
      </c>
      <c r="H173" s="55">
        <v>1</v>
      </c>
      <c r="I173" s="55">
        <v>0.14000000000000001</v>
      </c>
      <c r="J173" s="55">
        <v>0.1</v>
      </c>
      <c r="K173" s="1" t="s">
        <v>400</v>
      </c>
    </row>
    <row r="174" spans="1:11" x14ac:dyDescent="0.25">
      <c r="A174" s="2" t="s">
        <v>401</v>
      </c>
      <c r="B174" s="54" t="s">
        <v>138</v>
      </c>
      <c r="C174" s="55">
        <v>17.399999999999999</v>
      </c>
      <c r="D174" s="55">
        <v>8.8000000000000007</v>
      </c>
      <c r="E174" s="55">
        <v>10.5</v>
      </c>
      <c r="F174" s="55">
        <v>192</v>
      </c>
      <c r="G174" s="55">
        <v>153.13</v>
      </c>
      <c r="H174" s="55">
        <v>22.17</v>
      </c>
      <c r="I174" s="55">
        <v>0.53</v>
      </c>
      <c r="J174" s="55">
        <v>0.46</v>
      </c>
      <c r="K174" s="1" t="s">
        <v>402</v>
      </c>
    </row>
    <row r="175" spans="1:11" x14ac:dyDescent="0.25">
      <c r="A175" s="2" t="s">
        <v>403</v>
      </c>
      <c r="B175" s="54" t="s">
        <v>138</v>
      </c>
      <c r="C175" s="55">
        <v>12.1</v>
      </c>
      <c r="D175" s="55">
        <v>9</v>
      </c>
      <c r="E175" s="55">
        <v>43.3</v>
      </c>
      <c r="F175" s="55">
        <v>305</v>
      </c>
      <c r="G175" s="55">
        <v>66.319999999999993</v>
      </c>
      <c r="H175" s="55">
        <v>18.059999999999999</v>
      </c>
      <c r="I175" s="55">
        <v>1.1399999999999999</v>
      </c>
      <c r="J175" s="55">
        <v>0.14000000000000001</v>
      </c>
      <c r="K175" s="1" t="s">
        <v>404</v>
      </c>
    </row>
    <row r="176" spans="1:11" x14ac:dyDescent="0.25">
      <c r="A176" s="2" t="s">
        <v>405</v>
      </c>
      <c r="B176" s="54">
        <v>100</v>
      </c>
      <c r="C176" s="55">
        <v>8.5</v>
      </c>
      <c r="D176" s="55">
        <v>11.3</v>
      </c>
      <c r="E176" s="55">
        <v>27.8</v>
      </c>
      <c r="F176" s="55">
        <v>253</v>
      </c>
      <c r="G176" s="55">
        <v>97.8</v>
      </c>
      <c r="H176" s="55">
        <v>18.399999999999999</v>
      </c>
      <c r="I176" s="55">
        <v>1.2</v>
      </c>
      <c r="J176" s="55">
        <v>2.6</v>
      </c>
      <c r="K176" s="1" t="s">
        <v>406</v>
      </c>
    </row>
    <row r="177" spans="1:11" x14ac:dyDescent="0.25">
      <c r="A177" s="2" t="s">
        <v>407</v>
      </c>
      <c r="B177" s="54">
        <v>100</v>
      </c>
      <c r="C177" s="55">
        <v>9.6199999999999992</v>
      </c>
      <c r="D177" s="55">
        <v>9.27</v>
      </c>
      <c r="E177" s="55">
        <v>40.11</v>
      </c>
      <c r="F177" s="55">
        <v>282.35000000000002</v>
      </c>
      <c r="G177" s="55">
        <v>303.08999999999997</v>
      </c>
      <c r="H177" s="55">
        <v>137.87</v>
      </c>
      <c r="I177" s="55">
        <v>0.3</v>
      </c>
      <c r="J177" s="55">
        <v>0.56000000000000005</v>
      </c>
      <c r="K177" s="1" t="s">
        <v>408</v>
      </c>
    </row>
    <row r="178" spans="1:11" x14ac:dyDescent="0.25">
      <c r="A178" s="2" t="s">
        <v>409</v>
      </c>
      <c r="B178" s="54">
        <v>100</v>
      </c>
      <c r="C178" s="55">
        <v>6.31</v>
      </c>
      <c r="D178" s="55">
        <v>26.8</v>
      </c>
      <c r="E178" s="55">
        <v>51.65</v>
      </c>
      <c r="F178" s="55">
        <v>473.04</v>
      </c>
      <c r="G178" s="55">
        <v>0.51</v>
      </c>
      <c r="H178" s="55">
        <v>0</v>
      </c>
      <c r="I178" s="55">
        <v>0.05</v>
      </c>
      <c r="J178" s="55">
        <v>0</v>
      </c>
      <c r="K178" s="1" t="s">
        <v>410</v>
      </c>
    </row>
    <row r="179" spans="1:11" x14ac:dyDescent="0.25">
      <c r="A179" s="2" t="s">
        <v>411</v>
      </c>
      <c r="B179" s="54">
        <v>100</v>
      </c>
      <c r="C179" s="55">
        <v>6.9</v>
      </c>
      <c r="D179" s="55">
        <v>8.1</v>
      </c>
      <c r="E179" s="55">
        <v>56.7</v>
      </c>
      <c r="F179" s="55">
        <v>331</v>
      </c>
      <c r="G179" s="55">
        <v>21.6</v>
      </c>
      <c r="H179" s="55">
        <v>12.3</v>
      </c>
      <c r="I179" s="55">
        <v>1.2</v>
      </c>
      <c r="J179" s="55">
        <v>0.1</v>
      </c>
      <c r="K179" s="1" t="s">
        <v>412</v>
      </c>
    </row>
    <row r="180" spans="1:11" x14ac:dyDescent="0.25">
      <c r="A180" s="2" t="s">
        <v>413</v>
      </c>
      <c r="B180" s="54">
        <v>100</v>
      </c>
      <c r="C180" s="55">
        <v>8.6</v>
      </c>
      <c r="D180" s="55">
        <v>11.9</v>
      </c>
      <c r="E180" s="55">
        <v>54.3</v>
      </c>
      <c r="F180" s="55">
        <v>364</v>
      </c>
      <c r="G180" s="55">
        <v>104.6</v>
      </c>
      <c r="H180" s="55">
        <v>34.5</v>
      </c>
      <c r="I180" s="55">
        <v>1.6</v>
      </c>
      <c r="J180" s="55">
        <v>0</v>
      </c>
      <c r="K180" s="1" t="s">
        <v>414</v>
      </c>
    </row>
    <row r="181" spans="1:11" x14ac:dyDescent="0.25">
      <c r="A181" s="2" t="s">
        <v>415</v>
      </c>
      <c r="B181" s="54" t="s">
        <v>138</v>
      </c>
      <c r="C181" s="55">
        <v>5.28</v>
      </c>
      <c r="D181" s="55">
        <v>11.09</v>
      </c>
      <c r="E181" s="55">
        <v>47.35</v>
      </c>
      <c r="F181" s="55">
        <v>310.29000000000002</v>
      </c>
      <c r="G181" s="55">
        <v>48.19</v>
      </c>
      <c r="H181" s="55">
        <v>11.75</v>
      </c>
      <c r="I181" s="55">
        <v>4.54</v>
      </c>
      <c r="J181" s="55">
        <v>0</v>
      </c>
      <c r="K181" s="1" t="s">
        <v>416</v>
      </c>
    </row>
    <row r="182" spans="1:11" x14ac:dyDescent="0.25">
      <c r="A182" s="2" t="s">
        <v>417</v>
      </c>
      <c r="B182" s="54" t="s">
        <v>138</v>
      </c>
      <c r="C182" s="55">
        <v>9.93</v>
      </c>
      <c r="D182" s="55">
        <v>17.84</v>
      </c>
      <c r="E182" s="55">
        <v>25.15</v>
      </c>
      <c r="F182" s="55">
        <v>300.86928</v>
      </c>
      <c r="G182" s="55">
        <v>51.56</v>
      </c>
      <c r="H182" s="55">
        <v>7.73</v>
      </c>
      <c r="I182" s="55">
        <v>0.17</v>
      </c>
      <c r="J182" s="55">
        <v>0.04</v>
      </c>
      <c r="K182" s="1" t="s">
        <v>418</v>
      </c>
    </row>
    <row r="183" spans="1:11" x14ac:dyDescent="0.25">
      <c r="A183" s="2" t="s">
        <v>419</v>
      </c>
      <c r="B183" s="54" t="s">
        <v>138</v>
      </c>
      <c r="C183" s="55">
        <v>8.5</v>
      </c>
      <c r="D183" s="55">
        <v>8.6999999999999993</v>
      </c>
      <c r="E183" s="55">
        <v>52.3</v>
      </c>
      <c r="F183" s="55">
        <v>324</v>
      </c>
      <c r="G183" s="55">
        <v>23.61</v>
      </c>
      <c r="H183" s="55">
        <v>13.44</v>
      </c>
      <c r="I183" s="55">
        <v>1.21</v>
      </c>
      <c r="J183" s="55">
        <v>0.03</v>
      </c>
      <c r="K183" s="1" t="s">
        <v>420</v>
      </c>
    </row>
    <row r="184" spans="1:11" x14ac:dyDescent="0.25">
      <c r="A184" s="2" t="s">
        <v>421</v>
      </c>
      <c r="B184" s="54" t="s">
        <v>138</v>
      </c>
      <c r="C184" s="55">
        <v>7.84</v>
      </c>
      <c r="D184" s="55">
        <v>5.16</v>
      </c>
      <c r="E184" s="55">
        <v>56.33</v>
      </c>
      <c r="F184" s="55">
        <v>303.08605599999999</v>
      </c>
      <c r="G184" s="55">
        <v>15.76</v>
      </c>
      <c r="H184" s="55">
        <v>12.27</v>
      </c>
      <c r="I184" s="55">
        <v>0.9</v>
      </c>
      <c r="J184" s="55">
        <v>0.02</v>
      </c>
      <c r="K184" s="1" t="s">
        <v>422</v>
      </c>
    </row>
    <row r="185" spans="1:11" x14ac:dyDescent="0.25">
      <c r="A185" s="2" t="s">
        <v>423</v>
      </c>
      <c r="B185" s="54" t="s">
        <v>397</v>
      </c>
      <c r="C185" s="55">
        <v>7.71</v>
      </c>
      <c r="D185" s="55">
        <v>11.81</v>
      </c>
      <c r="E185" s="55">
        <v>27.64</v>
      </c>
      <c r="F185" s="55">
        <v>247.655125</v>
      </c>
      <c r="G185" s="55">
        <v>47.61</v>
      </c>
      <c r="H185" s="55">
        <v>9.3800000000000008</v>
      </c>
      <c r="I185" s="55">
        <v>0.46</v>
      </c>
      <c r="J185" s="55">
        <v>0.03</v>
      </c>
      <c r="K185" s="1" t="s">
        <v>424</v>
      </c>
    </row>
    <row r="186" spans="1:11" x14ac:dyDescent="0.25">
      <c r="A186" s="2" t="s">
        <v>425</v>
      </c>
      <c r="B186" s="54" t="s">
        <v>397</v>
      </c>
      <c r="C186" s="55">
        <v>2.99</v>
      </c>
      <c r="D186" s="55">
        <v>11.31</v>
      </c>
      <c r="E186" s="55">
        <v>27.63</v>
      </c>
      <c r="F186" s="55">
        <v>224.27</v>
      </c>
      <c r="G186" s="55">
        <v>9.11</v>
      </c>
      <c r="H186" s="55">
        <v>5.1100000000000003</v>
      </c>
      <c r="I186" s="55">
        <v>9.16</v>
      </c>
      <c r="J186" s="55">
        <v>0.2</v>
      </c>
      <c r="K186" s="1" t="s">
        <v>426</v>
      </c>
    </row>
    <row r="187" spans="1:11" x14ac:dyDescent="0.25">
      <c r="A187" s="2" t="s">
        <v>427</v>
      </c>
      <c r="B187" s="54" t="s">
        <v>138</v>
      </c>
      <c r="C187" s="55">
        <v>7.8</v>
      </c>
      <c r="D187" s="55">
        <v>9.4</v>
      </c>
      <c r="E187" s="55">
        <v>48.6</v>
      </c>
      <c r="F187" s="55">
        <v>312</v>
      </c>
      <c r="G187" s="55">
        <v>36.799999999999997</v>
      </c>
      <c r="H187" s="55">
        <v>13.52</v>
      </c>
      <c r="I187" s="55">
        <v>1.08</v>
      </c>
      <c r="J187" s="55">
        <v>0.08</v>
      </c>
      <c r="K187" s="1" t="s">
        <v>428</v>
      </c>
    </row>
    <row r="188" spans="1:11" x14ac:dyDescent="0.25">
      <c r="A188" s="2" t="s">
        <v>429</v>
      </c>
      <c r="B188" s="54" t="s">
        <v>138</v>
      </c>
      <c r="C188" s="55">
        <v>11.89</v>
      </c>
      <c r="D188" s="55">
        <v>7.61</v>
      </c>
      <c r="E188" s="55">
        <v>35.159999999999997</v>
      </c>
      <c r="F188" s="55">
        <v>256.70191999999997</v>
      </c>
      <c r="G188" s="55">
        <v>203.32</v>
      </c>
      <c r="H188" s="55">
        <v>95.72</v>
      </c>
      <c r="I188" s="55">
        <v>0.16</v>
      </c>
      <c r="J188" s="55">
        <v>0.06</v>
      </c>
      <c r="K188" s="1" t="s">
        <v>430</v>
      </c>
    </row>
    <row r="189" spans="1:11" x14ac:dyDescent="0.25">
      <c r="A189" s="2" t="s">
        <v>431</v>
      </c>
      <c r="B189" s="54" t="s">
        <v>138</v>
      </c>
      <c r="C189" s="55">
        <v>9.9903200000000005</v>
      </c>
      <c r="D189" s="55">
        <v>10.84287</v>
      </c>
      <c r="E189" s="55">
        <v>48.567799999999998</v>
      </c>
      <c r="F189" s="55">
        <v>331.81831</v>
      </c>
      <c r="G189" s="55">
        <v>324.80200000000002</v>
      </c>
      <c r="H189" s="55">
        <v>148.25360000000001</v>
      </c>
      <c r="I189" s="55">
        <v>0.1394</v>
      </c>
      <c r="J189" s="55">
        <v>0.04</v>
      </c>
      <c r="K189" s="1" t="s">
        <v>432</v>
      </c>
    </row>
    <row r="190" spans="1:11" x14ac:dyDescent="0.25">
      <c r="A190" s="2" t="s">
        <v>433</v>
      </c>
      <c r="B190" s="54" t="s">
        <v>138</v>
      </c>
      <c r="C190" s="55">
        <v>6.4</v>
      </c>
      <c r="D190" s="55">
        <v>8</v>
      </c>
      <c r="E190" s="55">
        <v>54.8</v>
      </c>
      <c r="F190" s="55">
        <v>315</v>
      </c>
      <c r="G190" s="55">
        <v>46.85</v>
      </c>
      <c r="H190" s="55">
        <v>12.71</v>
      </c>
      <c r="I190" s="55">
        <v>0.84</v>
      </c>
      <c r="J190" s="55">
        <v>0.26</v>
      </c>
      <c r="K190" s="1" t="s">
        <v>434</v>
      </c>
    </row>
    <row r="191" spans="1:11" x14ac:dyDescent="0.25">
      <c r="A191" s="2" t="s">
        <v>435</v>
      </c>
      <c r="B191" s="54" t="s">
        <v>138</v>
      </c>
      <c r="C191" s="55">
        <v>6.4</v>
      </c>
      <c r="D191" s="55">
        <v>8</v>
      </c>
      <c r="E191" s="55">
        <v>54.8</v>
      </c>
      <c r="F191" s="55">
        <v>315</v>
      </c>
      <c r="G191" s="55">
        <v>46.85</v>
      </c>
      <c r="H191" s="55">
        <v>12.71</v>
      </c>
      <c r="I191" s="55">
        <v>0.84</v>
      </c>
      <c r="J191" s="55">
        <v>0.26</v>
      </c>
      <c r="K191" s="1" t="s">
        <v>434</v>
      </c>
    </row>
    <row r="192" spans="1:11" x14ac:dyDescent="0.25">
      <c r="A192" s="2" t="s">
        <v>436</v>
      </c>
      <c r="B192" s="54" t="s">
        <v>138</v>
      </c>
      <c r="C192" s="55">
        <v>7.59</v>
      </c>
      <c r="D192" s="55">
        <v>6.89</v>
      </c>
      <c r="E192" s="55">
        <v>51.11</v>
      </c>
      <c r="F192" s="55">
        <v>296.75</v>
      </c>
      <c r="G192" s="55">
        <v>275.42</v>
      </c>
      <c r="H192" s="55">
        <v>164.03</v>
      </c>
      <c r="I192" s="55">
        <v>138.37</v>
      </c>
      <c r="J192" s="55">
        <v>0.13</v>
      </c>
      <c r="K192" s="1" t="s">
        <v>437</v>
      </c>
    </row>
    <row r="193" spans="1:1025" x14ac:dyDescent="0.25">
      <c r="A193" s="2" t="s">
        <v>438</v>
      </c>
      <c r="B193" s="54">
        <v>75</v>
      </c>
      <c r="C193" s="55">
        <v>8.6624999999999996</v>
      </c>
      <c r="D193" s="55">
        <v>11.355</v>
      </c>
      <c r="E193" s="55">
        <v>23.8125</v>
      </c>
      <c r="F193" s="55">
        <v>172.83</v>
      </c>
      <c r="G193" s="55">
        <v>156.92250000000001</v>
      </c>
      <c r="H193" s="55">
        <v>80.662499999999994</v>
      </c>
      <c r="I193" s="55">
        <v>63.69</v>
      </c>
      <c r="J193" s="55">
        <v>2.7149999999999999</v>
      </c>
      <c r="K193" s="1" t="s">
        <v>439</v>
      </c>
    </row>
    <row r="194" spans="1:1025" x14ac:dyDescent="0.25">
      <c r="A194" s="2" t="s">
        <v>440</v>
      </c>
      <c r="B194" s="54">
        <v>100</v>
      </c>
      <c r="C194" s="55">
        <v>8.6</v>
      </c>
      <c r="D194" s="55">
        <v>9</v>
      </c>
      <c r="E194" s="55">
        <v>53.3</v>
      </c>
      <c r="F194" s="55">
        <v>331</v>
      </c>
      <c r="G194" s="55">
        <v>23.86</v>
      </c>
      <c r="H194" s="55">
        <v>13.8</v>
      </c>
      <c r="I194" s="55">
        <v>1.22</v>
      </c>
      <c r="J194" s="55">
        <v>0</v>
      </c>
      <c r="K194" s="1" t="s">
        <v>441</v>
      </c>
    </row>
    <row r="195" spans="1:1025" s="80" customFormat="1" x14ac:dyDescent="0.25">
      <c r="A195" s="89" t="s">
        <v>529</v>
      </c>
      <c r="B195" s="54">
        <v>100</v>
      </c>
      <c r="C195" s="55">
        <v>8.6</v>
      </c>
      <c r="D195" s="55">
        <v>9</v>
      </c>
      <c r="E195" s="55">
        <v>53.3</v>
      </c>
      <c r="F195" s="55">
        <v>331</v>
      </c>
      <c r="G195" s="55">
        <v>23.86</v>
      </c>
      <c r="H195" s="55">
        <v>13.8</v>
      </c>
      <c r="I195" s="55">
        <v>1.22</v>
      </c>
      <c r="J195" s="55">
        <v>0</v>
      </c>
      <c r="K195" s="88" t="s">
        <v>471</v>
      </c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  <c r="BR195" s="48"/>
      <c r="BS195" s="48"/>
      <c r="BT195" s="48"/>
      <c r="BU195" s="48"/>
      <c r="BV195" s="48"/>
      <c r="BW195" s="48"/>
      <c r="BX195" s="48"/>
      <c r="BY195" s="48"/>
      <c r="BZ195" s="48"/>
      <c r="CA195" s="48"/>
      <c r="CB195" s="48"/>
      <c r="CC195" s="48"/>
      <c r="CD195" s="48"/>
      <c r="CE195" s="48"/>
      <c r="CF195" s="48"/>
      <c r="CG195" s="48"/>
      <c r="CH195" s="48"/>
      <c r="CI195" s="48"/>
      <c r="CJ195" s="48"/>
      <c r="CK195" s="48"/>
      <c r="CL195" s="48"/>
      <c r="CM195" s="48"/>
      <c r="CN195" s="48"/>
      <c r="CO195" s="48"/>
      <c r="CP195" s="48"/>
      <c r="CQ195" s="48"/>
      <c r="CR195" s="48"/>
      <c r="CS195" s="48"/>
      <c r="CT195" s="48"/>
      <c r="CU195" s="48"/>
      <c r="CV195" s="48"/>
      <c r="CW195" s="48"/>
      <c r="CX195" s="48"/>
      <c r="CY195" s="48"/>
      <c r="CZ195" s="48"/>
      <c r="DA195" s="48"/>
      <c r="DB195" s="48"/>
      <c r="DC195" s="48"/>
      <c r="DD195" s="48"/>
      <c r="DE195" s="48"/>
      <c r="DF195" s="48"/>
      <c r="DG195" s="48"/>
      <c r="DH195" s="48"/>
      <c r="DI195" s="48"/>
      <c r="DJ195" s="48"/>
      <c r="DK195" s="48"/>
      <c r="DL195" s="48"/>
      <c r="DM195" s="48"/>
      <c r="DN195" s="48"/>
      <c r="DO195" s="48"/>
      <c r="DP195" s="48"/>
      <c r="DQ195" s="48"/>
      <c r="DR195" s="48"/>
      <c r="DS195" s="48"/>
      <c r="DT195" s="48"/>
      <c r="DU195" s="48"/>
      <c r="DV195" s="48"/>
      <c r="DW195" s="48"/>
      <c r="DX195" s="48"/>
      <c r="DY195" s="48"/>
      <c r="DZ195" s="48"/>
      <c r="EA195" s="48"/>
      <c r="EB195" s="48"/>
      <c r="EC195" s="48"/>
      <c r="ED195" s="48"/>
      <c r="EE195" s="48"/>
      <c r="EF195" s="48"/>
      <c r="EG195" s="48"/>
      <c r="EH195" s="48"/>
      <c r="EI195" s="48"/>
      <c r="EJ195" s="48"/>
      <c r="EK195" s="48"/>
      <c r="EL195" s="48"/>
      <c r="EM195" s="48"/>
      <c r="EN195" s="48"/>
      <c r="EO195" s="48"/>
      <c r="EP195" s="48"/>
      <c r="EQ195" s="48"/>
      <c r="ER195" s="48"/>
      <c r="ES195" s="48"/>
      <c r="ET195" s="48"/>
      <c r="EU195" s="48"/>
      <c r="EV195" s="48"/>
      <c r="EW195" s="48"/>
      <c r="EX195" s="48"/>
      <c r="EY195" s="48"/>
      <c r="EZ195" s="48"/>
      <c r="FA195" s="48"/>
      <c r="FB195" s="48"/>
      <c r="FC195" s="48"/>
      <c r="FD195" s="48"/>
      <c r="FE195" s="48"/>
      <c r="FF195" s="48"/>
      <c r="FG195" s="48"/>
      <c r="FH195" s="48"/>
      <c r="FI195" s="48"/>
      <c r="FJ195" s="48"/>
      <c r="FK195" s="48"/>
      <c r="FL195" s="48"/>
      <c r="FM195" s="48"/>
      <c r="FN195" s="48"/>
      <c r="FO195" s="48"/>
      <c r="FP195" s="48"/>
      <c r="FQ195" s="48"/>
      <c r="FR195" s="48"/>
      <c r="FS195" s="48"/>
      <c r="FT195" s="48"/>
      <c r="FU195" s="48"/>
      <c r="FV195" s="48"/>
      <c r="FW195" s="48"/>
      <c r="FX195" s="48"/>
      <c r="FY195" s="48"/>
      <c r="FZ195" s="48"/>
      <c r="GA195" s="48"/>
      <c r="GB195" s="48"/>
      <c r="GC195" s="48"/>
      <c r="GD195" s="48"/>
      <c r="GE195" s="48"/>
      <c r="GF195" s="48"/>
      <c r="GG195" s="48"/>
      <c r="GH195" s="48"/>
      <c r="GI195" s="48"/>
      <c r="GJ195" s="48"/>
      <c r="GK195" s="48"/>
      <c r="GL195" s="48"/>
      <c r="GM195" s="48"/>
      <c r="GN195" s="48"/>
      <c r="GO195" s="48"/>
      <c r="GP195" s="48"/>
      <c r="GQ195" s="48"/>
      <c r="GR195" s="48"/>
      <c r="GS195" s="48"/>
      <c r="GT195" s="48"/>
      <c r="GU195" s="48"/>
      <c r="GV195" s="48"/>
      <c r="GW195" s="48"/>
      <c r="GX195" s="48"/>
      <c r="GY195" s="48"/>
      <c r="GZ195" s="48"/>
      <c r="HA195" s="48"/>
      <c r="HB195" s="48"/>
      <c r="HC195" s="48"/>
      <c r="HD195" s="48"/>
      <c r="HE195" s="48"/>
      <c r="HF195" s="48"/>
      <c r="HG195" s="48"/>
      <c r="HH195" s="48"/>
      <c r="HI195" s="48"/>
      <c r="HJ195" s="48"/>
      <c r="HK195" s="48"/>
      <c r="HL195" s="48"/>
      <c r="HM195" s="48"/>
      <c r="HN195" s="48"/>
      <c r="HO195" s="48"/>
      <c r="HP195" s="48"/>
      <c r="HQ195" s="48"/>
      <c r="HR195" s="48"/>
      <c r="HS195" s="48"/>
      <c r="HT195" s="48"/>
      <c r="HU195" s="48"/>
      <c r="HV195" s="48"/>
      <c r="HW195" s="48"/>
      <c r="HX195" s="48"/>
      <c r="HY195" s="48"/>
      <c r="HZ195" s="48"/>
      <c r="IA195" s="48"/>
      <c r="IB195" s="48"/>
      <c r="IC195" s="48"/>
      <c r="ID195" s="48"/>
      <c r="IE195" s="48"/>
      <c r="IF195" s="48"/>
      <c r="IG195" s="48"/>
      <c r="IH195" s="48"/>
      <c r="II195" s="48"/>
      <c r="IJ195" s="48"/>
      <c r="IK195" s="48"/>
      <c r="IL195" s="48"/>
      <c r="IM195" s="48"/>
      <c r="IN195" s="48"/>
      <c r="IO195" s="48"/>
      <c r="IP195" s="48"/>
      <c r="IQ195" s="48"/>
      <c r="IR195" s="48"/>
      <c r="IS195" s="48"/>
      <c r="IT195" s="48"/>
      <c r="IU195" s="48"/>
      <c r="IV195" s="48"/>
      <c r="IW195" s="48"/>
      <c r="IX195" s="48"/>
      <c r="IY195" s="48"/>
      <c r="IZ195" s="48"/>
      <c r="JA195" s="48"/>
      <c r="JB195" s="48"/>
      <c r="JC195" s="48"/>
      <c r="JD195" s="48"/>
      <c r="JE195" s="48"/>
      <c r="JF195" s="48"/>
      <c r="JG195" s="48"/>
      <c r="JH195" s="48"/>
      <c r="JI195" s="48"/>
      <c r="JJ195" s="48"/>
      <c r="JK195" s="48"/>
      <c r="JL195" s="48"/>
      <c r="JM195" s="48"/>
      <c r="JN195" s="48"/>
      <c r="JO195" s="48"/>
      <c r="JP195" s="48"/>
      <c r="JQ195" s="48"/>
      <c r="JR195" s="48"/>
      <c r="JS195" s="48"/>
      <c r="JT195" s="48"/>
      <c r="JU195" s="48"/>
      <c r="JV195" s="48"/>
      <c r="JW195" s="48"/>
      <c r="JX195" s="48"/>
      <c r="JY195" s="48"/>
      <c r="JZ195" s="48"/>
      <c r="KA195" s="48"/>
      <c r="KB195" s="48"/>
      <c r="KC195" s="48"/>
      <c r="KD195" s="48"/>
      <c r="KE195" s="48"/>
      <c r="KF195" s="48"/>
      <c r="KG195" s="48"/>
      <c r="KH195" s="48"/>
      <c r="KI195" s="48"/>
      <c r="KJ195" s="48"/>
      <c r="KK195" s="48"/>
      <c r="KL195" s="48"/>
      <c r="KM195" s="48"/>
      <c r="KN195" s="48"/>
      <c r="KO195" s="48"/>
      <c r="KP195" s="48"/>
      <c r="KQ195" s="48"/>
      <c r="KR195" s="48"/>
      <c r="KS195" s="48"/>
      <c r="KT195" s="48"/>
      <c r="KU195" s="48"/>
      <c r="KV195" s="48"/>
      <c r="KW195" s="48"/>
      <c r="KX195" s="48"/>
      <c r="KY195" s="48"/>
      <c r="KZ195" s="48"/>
      <c r="LA195" s="48"/>
      <c r="LB195" s="48"/>
      <c r="LC195" s="48"/>
      <c r="LD195" s="48"/>
      <c r="LE195" s="48"/>
      <c r="LF195" s="48"/>
      <c r="LG195" s="48"/>
      <c r="LH195" s="48"/>
      <c r="LI195" s="48"/>
      <c r="LJ195" s="48"/>
      <c r="LK195" s="48"/>
      <c r="LL195" s="48"/>
      <c r="LM195" s="48"/>
      <c r="LN195" s="48"/>
      <c r="LO195" s="48"/>
      <c r="LP195" s="48"/>
      <c r="LQ195" s="48"/>
      <c r="LR195" s="48"/>
      <c r="LS195" s="48"/>
      <c r="LT195" s="48"/>
      <c r="LU195" s="48"/>
      <c r="LV195" s="48"/>
      <c r="LW195" s="48"/>
      <c r="LX195" s="48"/>
      <c r="LY195" s="48"/>
      <c r="LZ195" s="48"/>
      <c r="MA195" s="48"/>
      <c r="MB195" s="48"/>
      <c r="MC195" s="48"/>
      <c r="MD195" s="48"/>
      <c r="ME195" s="48"/>
      <c r="MF195" s="48"/>
      <c r="MG195" s="48"/>
      <c r="MH195" s="48"/>
      <c r="MI195" s="48"/>
      <c r="MJ195" s="48"/>
      <c r="MK195" s="48"/>
      <c r="ML195" s="48"/>
      <c r="MM195" s="48"/>
      <c r="MN195" s="48"/>
      <c r="MO195" s="48"/>
      <c r="MP195" s="48"/>
      <c r="MQ195" s="48"/>
      <c r="MR195" s="48"/>
      <c r="MS195" s="48"/>
      <c r="MT195" s="48"/>
      <c r="MU195" s="48"/>
      <c r="MV195" s="48"/>
      <c r="MW195" s="48"/>
      <c r="MX195" s="48"/>
      <c r="MY195" s="48"/>
      <c r="MZ195" s="48"/>
      <c r="NA195" s="48"/>
      <c r="NB195" s="48"/>
      <c r="NC195" s="48"/>
      <c r="ND195" s="48"/>
      <c r="NE195" s="48"/>
      <c r="NF195" s="48"/>
      <c r="NG195" s="48"/>
      <c r="NH195" s="48"/>
      <c r="NI195" s="48"/>
      <c r="NJ195" s="48"/>
      <c r="NK195" s="48"/>
      <c r="NL195" s="48"/>
      <c r="NM195" s="48"/>
      <c r="NN195" s="48"/>
      <c r="NO195" s="48"/>
      <c r="NP195" s="48"/>
      <c r="NQ195" s="48"/>
      <c r="NR195" s="48"/>
      <c r="NS195" s="48"/>
      <c r="NT195" s="48"/>
      <c r="NU195" s="48"/>
      <c r="NV195" s="48"/>
      <c r="NW195" s="48"/>
      <c r="NX195" s="48"/>
      <c r="NY195" s="48"/>
      <c r="NZ195" s="48"/>
      <c r="OA195" s="48"/>
      <c r="OB195" s="48"/>
      <c r="OC195" s="48"/>
      <c r="OD195" s="48"/>
      <c r="OE195" s="48"/>
      <c r="OF195" s="48"/>
      <c r="OG195" s="48"/>
      <c r="OH195" s="48"/>
      <c r="OI195" s="48"/>
      <c r="OJ195" s="48"/>
      <c r="OK195" s="48"/>
      <c r="OL195" s="48"/>
      <c r="OM195" s="48"/>
      <c r="ON195" s="48"/>
      <c r="OO195" s="48"/>
      <c r="OP195" s="48"/>
      <c r="OQ195" s="48"/>
      <c r="OR195" s="48"/>
      <c r="OS195" s="48"/>
      <c r="OT195" s="48"/>
      <c r="OU195" s="48"/>
      <c r="OV195" s="48"/>
      <c r="OW195" s="48"/>
      <c r="OX195" s="48"/>
      <c r="OY195" s="48"/>
      <c r="OZ195" s="48"/>
      <c r="PA195" s="48"/>
      <c r="PB195" s="48"/>
      <c r="PC195" s="48"/>
      <c r="PD195" s="48"/>
      <c r="PE195" s="48"/>
      <c r="PF195" s="48"/>
      <c r="PG195" s="48"/>
      <c r="PH195" s="48"/>
      <c r="PI195" s="48"/>
      <c r="PJ195" s="48"/>
      <c r="PK195" s="48"/>
      <c r="PL195" s="48"/>
      <c r="PM195" s="48"/>
      <c r="PN195" s="48"/>
      <c r="PO195" s="48"/>
      <c r="PP195" s="48"/>
      <c r="PQ195" s="48"/>
      <c r="PR195" s="48"/>
      <c r="PS195" s="48"/>
      <c r="PT195" s="48"/>
      <c r="PU195" s="48"/>
      <c r="PV195" s="48"/>
      <c r="PW195" s="48"/>
      <c r="PX195" s="48"/>
      <c r="PY195" s="48"/>
      <c r="PZ195" s="48"/>
      <c r="QA195" s="48"/>
      <c r="QB195" s="48"/>
      <c r="QC195" s="48"/>
      <c r="QD195" s="48"/>
      <c r="QE195" s="48"/>
      <c r="QF195" s="48"/>
      <c r="QG195" s="48"/>
      <c r="QH195" s="48"/>
      <c r="QI195" s="48"/>
      <c r="QJ195" s="48"/>
      <c r="QK195" s="48"/>
      <c r="QL195" s="48"/>
      <c r="QM195" s="48"/>
      <c r="QN195" s="48"/>
      <c r="QO195" s="48"/>
      <c r="QP195" s="48"/>
      <c r="QQ195" s="48"/>
      <c r="QR195" s="48"/>
      <c r="QS195" s="48"/>
      <c r="QT195" s="48"/>
      <c r="QU195" s="48"/>
      <c r="QV195" s="48"/>
      <c r="QW195" s="48"/>
      <c r="QX195" s="48"/>
      <c r="QY195" s="48"/>
      <c r="QZ195" s="48"/>
      <c r="RA195" s="48"/>
      <c r="RB195" s="48"/>
      <c r="RC195" s="48"/>
      <c r="RD195" s="48"/>
      <c r="RE195" s="48"/>
      <c r="RF195" s="48"/>
      <c r="RG195" s="48"/>
      <c r="RH195" s="48"/>
      <c r="RI195" s="48"/>
      <c r="RJ195" s="48"/>
      <c r="RK195" s="48"/>
      <c r="RL195" s="48"/>
      <c r="RM195" s="48"/>
      <c r="RN195" s="48"/>
      <c r="RO195" s="48"/>
      <c r="RP195" s="48"/>
      <c r="RQ195" s="48"/>
      <c r="RR195" s="48"/>
      <c r="RS195" s="48"/>
      <c r="RT195" s="48"/>
      <c r="RU195" s="48"/>
      <c r="RV195" s="48"/>
      <c r="RW195" s="48"/>
      <c r="RX195" s="48"/>
      <c r="RY195" s="48"/>
      <c r="RZ195" s="48"/>
      <c r="SA195" s="48"/>
      <c r="SB195" s="48"/>
      <c r="SC195" s="48"/>
      <c r="SD195" s="48"/>
      <c r="SE195" s="48"/>
      <c r="SF195" s="48"/>
      <c r="SG195" s="48"/>
      <c r="SH195" s="48"/>
      <c r="SI195" s="48"/>
      <c r="SJ195" s="48"/>
      <c r="SK195" s="48"/>
      <c r="SL195" s="48"/>
      <c r="SM195" s="48"/>
      <c r="SN195" s="48"/>
      <c r="SO195" s="48"/>
      <c r="SP195" s="48"/>
      <c r="SQ195" s="48"/>
      <c r="SR195" s="48"/>
      <c r="SS195" s="48"/>
      <c r="ST195" s="48"/>
      <c r="SU195" s="48"/>
      <c r="SV195" s="48"/>
      <c r="SW195" s="48"/>
      <c r="SX195" s="48"/>
      <c r="SY195" s="48"/>
      <c r="SZ195" s="48"/>
      <c r="TA195" s="48"/>
      <c r="TB195" s="48"/>
      <c r="TC195" s="48"/>
      <c r="TD195" s="48"/>
      <c r="TE195" s="48"/>
      <c r="TF195" s="48"/>
      <c r="TG195" s="48"/>
      <c r="TH195" s="48"/>
      <c r="TI195" s="48"/>
      <c r="TJ195" s="48"/>
      <c r="TK195" s="48"/>
      <c r="TL195" s="48"/>
      <c r="TM195" s="48"/>
      <c r="TN195" s="48"/>
      <c r="TO195" s="48"/>
      <c r="TP195" s="48"/>
      <c r="TQ195" s="48"/>
      <c r="TR195" s="48"/>
      <c r="TS195" s="48"/>
      <c r="TT195" s="48"/>
      <c r="TU195" s="48"/>
      <c r="TV195" s="48"/>
      <c r="TW195" s="48"/>
      <c r="TX195" s="48"/>
      <c r="TY195" s="48"/>
      <c r="TZ195" s="48"/>
      <c r="UA195" s="48"/>
      <c r="UB195" s="48"/>
      <c r="UC195" s="48"/>
      <c r="UD195" s="48"/>
      <c r="UE195" s="48"/>
      <c r="UF195" s="48"/>
      <c r="UG195" s="48"/>
      <c r="UH195" s="48"/>
      <c r="UI195" s="48"/>
      <c r="UJ195" s="48"/>
      <c r="UK195" s="48"/>
      <c r="UL195" s="48"/>
      <c r="UM195" s="48"/>
      <c r="UN195" s="48"/>
      <c r="UO195" s="48"/>
      <c r="UP195" s="48"/>
      <c r="UQ195" s="48"/>
      <c r="UR195" s="48"/>
      <c r="US195" s="48"/>
      <c r="UT195" s="48"/>
      <c r="UU195" s="48"/>
      <c r="UV195" s="48"/>
      <c r="UW195" s="48"/>
      <c r="UX195" s="48"/>
      <c r="UY195" s="48"/>
      <c r="UZ195" s="48"/>
      <c r="VA195" s="48"/>
      <c r="VB195" s="48"/>
      <c r="VC195" s="48"/>
      <c r="VD195" s="48"/>
      <c r="VE195" s="48"/>
      <c r="VF195" s="48"/>
      <c r="VG195" s="48"/>
      <c r="VH195" s="48"/>
      <c r="VI195" s="48"/>
      <c r="VJ195" s="48"/>
      <c r="VK195" s="48"/>
      <c r="VL195" s="48"/>
      <c r="VM195" s="48"/>
      <c r="VN195" s="48"/>
      <c r="VO195" s="48"/>
      <c r="VP195" s="48"/>
      <c r="VQ195" s="48"/>
      <c r="VR195" s="48"/>
      <c r="VS195" s="48"/>
      <c r="VT195" s="48"/>
      <c r="VU195" s="48"/>
      <c r="VV195" s="48"/>
      <c r="VW195" s="48"/>
      <c r="VX195" s="48"/>
      <c r="VY195" s="48"/>
      <c r="VZ195" s="48"/>
      <c r="WA195" s="48"/>
      <c r="WB195" s="48"/>
      <c r="WC195" s="48"/>
      <c r="WD195" s="48"/>
      <c r="WE195" s="48"/>
      <c r="WF195" s="48"/>
      <c r="WG195" s="48"/>
      <c r="WH195" s="48"/>
      <c r="WI195" s="48"/>
      <c r="WJ195" s="48"/>
      <c r="WK195" s="48"/>
      <c r="WL195" s="48"/>
      <c r="WM195" s="48"/>
      <c r="WN195" s="48"/>
      <c r="WO195" s="48"/>
      <c r="WP195" s="48"/>
      <c r="WQ195" s="48"/>
      <c r="WR195" s="48"/>
      <c r="WS195" s="48"/>
      <c r="WT195" s="48"/>
      <c r="WU195" s="48"/>
      <c r="WV195" s="48"/>
      <c r="WW195" s="48"/>
      <c r="WX195" s="48"/>
      <c r="WY195" s="48"/>
      <c r="WZ195" s="48"/>
      <c r="XA195" s="48"/>
      <c r="XB195" s="48"/>
      <c r="XC195" s="48"/>
      <c r="XD195" s="48"/>
      <c r="XE195" s="48"/>
      <c r="XF195" s="48"/>
      <c r="XG195" s="48"/>
      <c r="XH195" s="48"/>
      <c r="XI195" s="48"/>
      <c r="XJ195" s="48"/>
      <c r="XK195" s="48"/>
      <c r="XL195" s="48"/>
      <c r="XM195" s="48"/>
      <c r="XN195" s="48"/>
      <c r="XO195" s="48"/>
      <c r="XP195" s="48"/>
      <c r="XQ195" s="48"/>
      <c r="XR195" s="48"/>
      <c r="XS195" s="48"/>
      <c r="XT195" s="48"/>
      <c r="XU195" s="48"/>
      <c r="XV195" s="48"/>
      <c r="XW195" s="48"/>
      <c r="XX195" s="48"/>
      <c r="XY195" s="48"/>
      <c r="XZ195" s="48"/>
      <c r="YA195" s="48"/>
      <c r="YB195" s="48"/>
      <c r="YC195" s="48"/>
      <c r="YD195" s="48"/>
      <c r="YE195" s="48"/>
      <c r="YF195" s="48"/>
      <c r="YG195" s="48"/>
      <c r="YH195" s="48"/>
      <c r="YI195" s="48"/>
      <c r="YJ195" s="48"/>
      <c r="YK195" s="48"/>
      <c r="YL195" s="48"/>
      <c r="YM195" s="48"/>
      <c r="YN195" s="48"/>
      <c r="YO195" s="48"/>
      <c r="YP195" s="48"/>
      <c r="YQ195" s="48"/>
      <c r="YR195" s="48"/>
      <c r="YS195" s="48"/>
      <c r="YT195" s="48"/>
      <c r="YU195" s="48"/>
      <c r="YV195" s="48"/>
      <c r="YW195" s="48"/>
      <c r="YX195" s="48"/>
      <c r="YY195" s="48"/>
      <c r="YZ195" s="48"/>
      <c r="ZA195" s="48"/>
      <c r="ZB195" s="48"/>
      <c r="ZC195" s="48"/>
      <c r="ZD195" s="48"/>
      <c r="ZE195" s="48"/>
      <c r="ZF195" s="48"/>
      <c r="ZG195" s="48"/>
      <c r="ZH195" s="48"/>
      <c r="ZI195" s="48"/>
      <c r="ZJ195" s="48"/>
      <c r="ZK195" s="48"/>
      <c r="ZL195" s="48"/>
      <c r="ZM195" s="48"/>
      <c r="ZN195" s="48"/>
      <c r="ZO195" s="48"/>
      <c r="ZP195" s="48"/>
      <c r="ZQ195" s="48"/>
      <c r="ZR195" s="48"/>
      <c r="ZS195" s="48"/>
      <c r="ZT195" s="48"/>
      <c r="ZU195" s="48"/>
      <c r="ZV195" s="48"/>
      <c r="ZW195" s="48"/>
      <c r="ZX195" s="48"/>
      <c r="ZY195" s="48"/>
      <c r="ZZ195" s="48"/>
      <c r="AAA195" s="48"/>
      <c r="AAB195" s="48"/>
      <c r="AAC195" s="48"/>
      <c r="AAD195" s="48"/>
      <c r="AAE195" s="48"/>
      <c r="AAF195" s="48"/>
      <c r="AAG195" s="48"/>
      <c r="AAH195" s="48"/>
      <c r="AAI195" s="48"/>
      <c r="AAJ195" s="48"/>
      <c r="AAK195" s="48"/>
      <c r="AAL195" s="48"/>
      <c r="AAM195" s="48"/>
      <c r="AAN195" s="48"/>
      <c r="AAO195" s="48"/>
      <c r="AAP195" s="48"/>
      <c r="AAQ195" s="48"/>
      <c r="AAR195" s="48"/>
      <c r="AAS195" s="48"/>
      <c r="AAT195" s="48"/>
      <c r="AAU195" s="48"/>
      <c r="AAV195" s="48"/>
      <c r="AAW195" s="48"/>
      <c r="AAX195" s="48"/>
      <c r="AAY195" s="48"/>
      <c r="AAZ195" s="48"/>
      <c r="ABA195" s="48"/>
      <c r="ABB195" s="48"/>
      <c r="ABC195" s="48"/>
      <c r="ABD195" s="48"/>
      <c r="ABE195" s="48"/>
      <c r="ABF195" s="48"/>
      <c r="ABG195" s="48"/>
      <c r="ABH195" s="48"/>
      <c r="ABI195" s="48"/>
      <c r="ABJ195" s="48"/>
      <c r="ABK195" s="48"/>
      <c r="ABL195" s="48"/>
      <c r="ABM195" s="48"/>
      <c r="ABN195" s="48"/>
      <c r="ABO195" s="48"/>
      <c r="ABP195" s="48"/>
      <c r="ABQ195" s="48"/>
      <c r="ABR195" s="48"/>
      <c r="ABS195" s="48"/>
      <c r="ABT195" s="48"/>
      <c r="ABU195" s="48"/>
      <c r="ABV195" s="48"/>
      <c r="ABW195" s="48"/>
      <c r="ABX195" s="48"/>
      <c r="ABY195" s="48"/>
      <c r="ABZ195" s="48"/>
      <c r="ACA195" s="48"/>
      <c r="ACB195" s="48"/>
      <c r="ACC195" s="48"/>
      <c r="ACD195" s="48"/>
      <c r="ACE195" s="48"/>
      <c r="ACF195" s="48"/>
      <c r="ACG195" s="48"/>
      <c r="ACH195" s="48"/>
      <c r="ACI195" s="48"/>
      <c r="ACJ195" s="48"/>
      <c r="ACK195" s="48"/>
      <c r="ACL195" s="48"/>
      <c r="ACM195" s="48"/>
      <c r="ACN195" s="48"/>
      <c r="ACO195" s="48"/>
      <c r="ACP195" s="48"/>
      <c r="ACQ195" s="48"/>
      <c r="ACR195" s="48"/>
      <c r="ACS195" s="48"/>
      <c r="ACT195" s="48"/>
      <c r="ACU195" s="48"/>
      <c r="ACV195" s="48"/>
      <c r="ACW195" s="48"/>
      <c r="ACX195" s="48"/>
      <c r="ACY195" s="48"/>
      <c r="ACZ195" s="48"/>
      <c r="ADA195" s="48"/>
      <c r="ADB195" s="48"/>
      <c r="ADC195" s="48"/>
      <c r="ADD195" s="48"/>
      <c r="ADE195" s="48"/>
      <c r="ADF195" s="48"/>
      <c r="ADG195" s="48"/>
      <c r="ADH195" s="48"/>
      <c r="ADI195" s="48"/>
      <c r="ADJ195" s="48"/>
      <c r="ADK195" s="48"/>
      <c r="ADL195" s="48"/>
      <c r="ADM195" s="48"/>
      <c r="ADN195" s="48"/>
      <c r="ADO195" s="48"/>
      <c r="ADP195" s="48"/>
      <c r="ADQ195" s="48"/>
      <c r="ADR195" s="48"/>
      <c r="ADS195" s="48"/>
      <c r="ADT195" s="48"/>
      <c r="ADU195" s="48"/>
      <c r="ADV195" s="48"/>
      <c r="ADW195" s="48"/>
      <c r="ADX195" s="48"/>
      <c r="ADY195" s="48"/>
      <c r="ADZ195" s="48"/>
      <c r="AEA195" s="48"/>
      <c r="AEB195" s="48"/>
      <c r="AEC195" s="48"/>
      <c r="AED195" s="48"/>
      <c r="AEE195" s="48"/>
      <c r="AEF195" s="48"/>
      <c r="AEG195" s="48"/>
      <c r="AEH195" s="48"/>
      <c r="AEI195" s="48"/>
      <c r="AEJ195" s="48"/>
      <c r="AEK195" s="48"/>
      <c r="AEL195" s="48"/>
      <c r="AEM195" s="48"/>
      <c r="AEN195" s="48"/>
      <c r="AEO195" s="48"/>
      <c r="AEP195" s="48"/>
      <c r="AEQ195" s="48"/>
      <c r="AER195" s="48"/>
      <c r="AES195" s="48"/>
      <c r="AET195" s="48"/>
      <c r="AEU195" s="48"/>
      <c r="AEV195" s="48"/>
      <c r="AEW195" s="48"/>
      <c r="AEX195" s="48"/>
      <c r="AEY195" s="48"/>
      <c r="AEZ195" s="48"/>
      <c r="AFA195" s="48"/>
      <c r="AFB195" s="48"/>
      <c r="AFC195" s="48"/>
      <c r="AFD195" s="48"/>
      <c r="AFE195" s="48"/>
      <c r="AFF195" s="48"/>
      <c r="AFG195" s="48"/>
      <c r="AFH195" s="48"/>
      <c r="AFI195" s="48"/>
      <c r="AFJ195" s="48"/>
      <c r="AFK195" s="48"/>
      <c r="AFL195" s="48"/>
      <c r="AFM195" s="48"/>
      <c r="AFN195" s="48"/>
      <c r="AFO195" s="48"/>
      <c r="AFP195" s="48"/>
      <c r="AFQ195" s="48"/>
      <c r="AFR195" s="48"/>
      <c r="AFS195" s="48"/>
      <c r="AFT195" s="48"/>
      <c r="AFU195" s="48"/>
      <c r="AFV195" s="48"/>
      <c r="AFW195" s="48"/>
      <c r="AFX195" s="48"/>
      <c r="AFY195" s="48"/>
      <c r="AFZ195" s="48"/>
      <c r="AGA195" s="48"/>
      <c r="AGB195" s="48"/>
      <c r="AGC195" s="48"/>
      <c r="AGD195" s="48"/>
      <c r="AGE195" s="48"/>
      <c r="AGF195" s="48"/>
      <c r="AGG195" s="48"/>
      <c r="AGH195" s="48"/>
      <c r="AGI195" s="48"/>
      <c r="AGJ195" s="48"/>
      <c r="AGK195" s="48"/>
      <c r="AGL195" s="48"/>
      <c r="AGM195" s="48"/>
      <c r="AGN195" s="48"/>
      <c r="AGO195" s="48"/>
      <c r="AGP195" s="48"/>
      <c r="AGQ195" s="48"/>
      <c r="AGR195" s="48"/>
      <c r="AGS195" s="48"/>
      <c r="AGT195" s="48"/>
      <c r="AGU195" s="48"/>
      <c r="AGV195" s="48"/>
      <c r="AGW195" s="48"/>
      <c r="AGX195" s="48"/>
      <c r="AGY195" s="48"/>
      <c r="AGZ195" s="48"/>
      <c r="AHA195" s="48"/>
      <c r="AHB195" s="48"/>
      <c r="AHC195" s="48"/>
      <c r="AHD195" s="48"/>
      <c r="AHE195" s="48"/>
      <c r="AHF195" s="48"/>
      <c r="AHG195" s="48"/>
      <c r="AHH195" s="48"/>
      <c r="AHI195" s="48"/>
      <c r="AHJ195" s="48"/>
      <c r="AHK195" s="48"/>
      <c r="AHL195" s="48"/>
      <c r="AHM195" s="48"/>
      <c r="AHN195" s="48"/>
      <c r="AHO195" s="48"/>
      <c r="AHP195" s="48"/>
      <c r="AHQ195" s="48"/>
      <c r="AHR195" s="48"/>
      <c r="AHS195" s="48"/>
      <c r="AHT195" s="48"/>
      <c r="AHU195" s="48"/>
      <c r="AHV195" s="48"/>
      <c r="AHW195" s="48"/>
      <c r="AHX195" s="48"/>
      <c r="AHY195" s="48"/>
      <c r="AHZ195" s="48"/>
      <c r="AIA195" s="48"/>
      <c r="AIB195" s="48"/>
      <c r="AIC195" s="48"/>
      <c r="AID195" s="48"/>
      <c r="AIE195" s="48"/>
      <c r="AIF195" s="48"/>
      <c r="AIG195" s="48"/>
      <c r="AIH195" s="48"/>
      <c r="AII195" s="48"/>
      <c r="AIJ195" s="48"/>
      <c r="AIK195" s="48"/>
      <c r="AIL195" s="48"/>
      <c r="AIM195" s="48"/>
      <c r="AIN195" s="48"/>
      <c r="AIO195" s="48"/>
      <c r="AIP195" s="48"/>
      <c r="AIQ195" s="48"/>
      <c r="AIR195" s="48"/>
      <c r="AIS195" s="48"/>
      <c r="AIT195" s="48"/>
      <c r="AIU195" s="48"/>
      <c r="AIV195" s="48"/>
      <c r="AIW195" s="48"/>
      <c r="AIX195" s="48"/>
      <c r="AIY195" s="48"/>
      <c r="AIZ195" s="48"/>
      <c r="AJA195" s="48"/>
      <c r="AJB195" s="48"/>
      <c r="AJC195" s="48"/>
      <c r="AJD195" s="48"/>
      <c r="AJE195" s="48"/>
      <c r="AJF195" s="48"/>
      <c r="AJG195" s="48"/>
      <c r="AJH195" s="48"/>
      <c r="AJI195" s="48"/>
      <c r="AJJ195" s="48"/>
      <c r="AJK195" s="48"/>
      <c r="AJL195" s="48"/>
      <c r="AJM195" s="48"/>
      <c r="AJN195" s="48"/>
      <c r="AJO195" s="48"/>
      <c r="AJP195" s="48"/>
      <c r="AJQ195" s="48"/>
      <c r="AJR195" s="48"/>
      <c r="AJS195" s="48"/>
      <c r="AJT195" s="48"/>
      <c r="AJU195" s="48"/>
      <c r="AJV195" s="48"/>
      <c r="AJW195" s="48"/>
      <c r="AJX195" s="48"/>
      <c r="AJY195" s="48"/>
      <c r="AJZ195" s="48"/>
      <c r="AKA195" s="48"/>
      <c r="AKB195" s="48"/>
      <c r="AKC195" s="48"/>
      <c r="AKD195" s="48"/>
      <c r="AKE195" s="48"/>
      <c r="AKF195" s="48"/>
      <c r="AKG195" s="48"/>
      <c r="AKH195" s="48"/>
      <c r="AKI195" s="48"/>
      <c r="AKJ195" s="48"/>
      <c r="AKK195" s="48"/>
      <c r="AKL195" s="48"/>
      <c r="AKM195" s="48"/>
      <c r="AKN195" s="48"/>
      <c r="AKO195" s="48"/>
      <c r="AKP195" s="48"/>
      <c r="AKQ195" s="48"/>
      <c r="AKR195" s="48"/>
      <c r="AKS195" s="48"/>
      <c r="AKT195" s="48"/>
      <c r="AKU195" s="48"/>
      <c r="AKV195" s="48"/>
      <c r="AKW195" s="48"/>
      <c r="AKX195" s="48"/>
      <c r="AKY195" s="48"/>
      <c r="AKZ195" s="48"/>
      <c r="ALA195" s="48"/>
      <c r="ALB195" s="48"/>
      <c r="ALC195" s="48"/>
      <c r="ALD195" s="48"/>
      <c r="ALE195" s="48"/>
      <c r="ALF195" s="48"/>
      <c r="ALG195" s="48"/>
      <c r="ALH195" s="48"/>
      <c r="ALI195" s="48"/>
      <c r="ALJ195" s="48"/>
      <c r="ALK195" s="48"/>
      <c r="ALL195" s="48"/>
      <c r="ALM195" s="48"/>
      <c r="ALN195" s="48"/>
      <c r="ALO195" s="48"/>
      <c r="ALP195" s="48"/>
      <c r="ALQ195" s="48"/>
      <c r="ALR195" s="48"/>
      <c r="ALS195" s="48"/>
      <c r="ALT195" s="48"/>
      <c r="ALU195" s="48"/>
      <c r="ALV195" s="48"/>
      <c r="ALW195" s="48"/>
      <c r="ALX195" s="48"/>
      <c r="ALY195" s="48"/>
      <c r="ALZ195" s="48"/>
      <c r="AMA195" s="48"/>
      <c r="AMB195" s="48"/>
      <c r="AMC195" s="48"/>
      <c r="AMD195" s="48"/>
      <c r="AME195" s="48"/>
      <c r="AMF195" s="48"/>
      <c r="AMG195" s="48"/>
      <c r="AMH195" s="48"/>
      <c r="AMI195" s="48"/>
      <c r="AMJ195" s="48"/>
      <c r="AMK195" s="48"/>
    </row>
    <row r="196" spans="1:1025" x14ac:dyDescent="0.25">
      <c r="A196" s="2" t="s">
        <v>442</v>
      </c>
      <c r="B196" s="54" t="s">
        <v>138</v>
      </c>
      <c r="C196" s="55">
        <v>8.1999999999999993</v>
      </c>
      <c r="D196" s="55">
        <v>6.2</v>
      </c>
      <c r="E196" s="55">
        <v>49</v>
      </c>
      <c r="F196" s="55">
        <v>288</v>
      </c>
      <c r="G196" s="55">
        <v>20.98</v>
      </c>
      <c r="H196" s="55">
        <v>12.4</v>
      </c>
      <c r="I196" s="55">
        <v>1.08</v>
      </c>
      <c r="J196" s="55">
        <v>0</v>
      </c>
      <c r="K196" s="1" t="s">
        <v>443</v>
      </c>
    </row>
    <row r="197" spans="1:1025" x14ac:dyDescent="0.25">
      <c r="A197" s="2" t="s">
        <v>444</v>
      </c>
      <c r="B197" s="54" t="s">
        <v>138</v>
      </c>
      <c r="C197" s="55">
        <v>0.3</v>
      </c>
      <c r="D197" s="55">
        <v>0.3</v>
      </c>
      <c r="E197" s="55">
        <v>28.1</v>
      </c>
      <c r="F197" s="55">
        <v>113</v>
      </c>
      <c r="G197" s="55">
        <v>13.88</v>
      </c>
      <c r="H197" s="55">
        <v>7.47</v>
      </c>
      <c r="I197" s="55">
        <v>1.89</v>
      </c>
      <c r="J197" s="55">
        <v>8.3000000000000007</v>
      </c>
      <c r="K197" s="1" t="s">
        <v>445</v>
      </c>
    </row>
    <row r="198" spans="1:1025" x14ac:dyDescent="0.25">
      <c r="A198" s="2" t="s">
        <v>446</v>
      </c>
      <c r="B198" s="54" t="s">
        <v>138</v>
      </c>
      <c r="C198" s="55">
        <v>4.9000000000000004</v>
      </c>
      <c r="D198" s="55">
        <v>4.3</v>
      </c>
      <c r="E198" s="55">
        <v>40.9</v>
      </c>
      <c r="F198" s="55">
        <v>222</v>
      </c>
      <c r="G198" s="55">
        <v>20.13</v>
      </c>
      <c r="H198" s="55">
        <v>11.56</v>
      </c>
      <c r="I198" s="55">
        <v>1.66</v>
      </c>
      <c r="J198" s="55">
        <v>4.4000000000000004</v>
      </c>
      <c r="K198" s="1" t="s">
        <v>447</v>
      </c>
    </row>
    <row r="199" spans="1:1025" x14ac:dyDescent="0.25">
      <c r="A199" s="2" t="s">
        <v>448</v>
      </c>
      <c r="B199" s="54" t="s">
        <v>138</v>
      </c>
      <c r="C199" s="55">
        <v>9.7200000000000006</v>
      </c>
      <c r="D199" s="55">
        <v>4.9000000000000004</v>
      </c>
      <c r="E199" s="55">
        <v>35.770000000000003</v>
      </c>
      <c r="F199" s="55">
        <v>226.06</v>
      </c>
      <c r="G199" s="55">
        <v>21.5</v>
      </c>
      <c r="H199" s="55">
        <v>69.069999999999993</v>
      </c>
      <c r="I199" s="55">
        <v>6.62</v>
      </c>
      <c r="J199" s="55">
        <v>0.14000000000000001</v>
      </c>
      <c r="K199" s="1" t="s">
        <v>449</v>
      </c>
    </row>
    <row r="200" spans="1:1025" x14ac:dyDescent="0.25">
      <c r="A200" s="2" t="s">
        <v>450</v>
      </c>
      <c r="B200" s="54">
        <v>75</v>
      </c>
      <c r="C200" s="55">
        <v>8.3249999999999993</v>
      </c>
      <c r="D200" s="55">
        <v>3.5249999999999999</v>
      </c>
      <c r="E200" s="55">
        <v>23.25</v>
      </c>
      <c r="F200" s="55">
        <v>162</v>
      </c>
      <c r="G200" s="55">
        <v>26.1</v>
      </c>
      <c r="H200" s="55">
        <v>23.85</v>
      </c>
      <c r="I200" s="55">
        <v>0.82499999999999996</v>
      </c>
      <c r="J200" s="55">
        <v>1.125</v>
      </c>
      <c r="K200" s="1" t="s">
        <v>451</v>
      </c>
    </row>
    <row r="201" spans="1:1025" x14ac:dyDescent="0.25">
      <c r="A201" s="2" t="s">
        <v>452</v>
      </c>
      <c r="B201" s="54" t="s">
        <v>138</v>
      </c>
      <c r="C201" s="55">
        <v>2.1</v>
      </c>
      <c r="D201" s="55">
        <v>3.2</v>
      </c>
      <c r="E201" s="55">
        <v>14.06</v>
      </c>
      <c r="F201" s="55">
        <v>109</v>
      </c>
      <c r="G201" s="55">
        <v>141.16999999999999</v>
      </c>
      <c r="H201" s="55">
        <v>38.99</v>
      </c>
      <c r="I201" s="55">
        <v>0.9</v>
      </c>
      <c r="J201" s="55">
        <v>17.02</v>
      </c>
      <c r="K201" s="1" t="s">
        <v>453</v>
      </c>
    </row>
    <row r="202" spans="1:1025" x14ac:dyDescent="0.25">
      <c r="A202" s="2" t="s">
        <v>454</v>
      </c>
      <c r="B202" s="54" t="s">
        <v>138</v>
      </c>
      <c r="C202" s="55">
        <v>6.8666666666666698</v>
      </c>
      <c r="D202" s="55">
        <v>7.5066666666666704</v>
      </c>
      <c r="E202" s="55">
        <v>47.746666666666698</v>
      </c>
      <c r="F202" s="55">
        <v>286.04000000000002</v>
      </c>
      <c r="G202" s="55">
        <v>25.770666666666699</v>
      </c>
      <c r="H202" s="55">
        <v>20.933333333333302</v>
      </c>
      <c r="I202" s="55">
        <v>9.2799999999999994</v>
      </c>
      <c r="J202" s="55">
        <v>8.06666666666667</v>
      </c>
      <c r="K202" s="1" t="s">
        <v>455</v>
      </c>
    </row>
    <row r="203" spans="1:1025" x14ac:dyDescent="0.25">
      <c r="A203" s="2" t="s">
        <v>456</v>
      </c>
      <c r="B203" s="54" t="s">
        <v>138</v>
      </c>
      <c r="C203" s="55">
        <v>6.2</v>
      </c>
      <c r="D203" s="55">
        <v>8</v>
      </c>
      <c r="E203" s="55">
        <v>32.200000000000003</v>
      </c>
      <c r="F203" s="55">
        <v>228</v>
      </c>
      <c r="G203" s="55">
        <v>42.39</v>
      </c>
      <c r="H203" s="55">
        <v>17.170000000000002</v>
      </c>
      <c r="I203" s="55">
        <v>1.07</v>
      </c>
      <c r="J203" s="55">
        <v>8.86</v>
      </c>
      <c r="K203" s="1" t="s">
        <v>457</v>
      </c>
    </row>
    <row r="204" spans="1:1025" x14ac:dyDescent="0.25">
      <c r="A204" s="2" t="s">
        <v>458</v>
      </c>
      <c r="B204" s="54" t="s">
        <v>138</v>
      </c>
      <c r="C204" s="55">
        <v>2.2999999999999998</v>
      </c>
      <c r="D204" s="55">
        <v>6.6</v>
      </c>
      <c r="E204" s="55">
        <v>5.7</v>
      </c>
      <c r="F204" s="55">
        <v>92</v>
      </c>
      <c r="G204" s="55">
        <v>62.96</v>
      </c>
      <c r="H204" s="55">
        <v>19.71</v>
      </c>
      <c r="I204" s="55">
        <v>0.77</v>
      </c>
      <c r="J204" s="55">
        <v>19.690000000000001</v>
      </c>
      <c r="K204" s="1" t="s">
        <v>459</v>
      </c>
    </row>
    <row r="205" spans="1:1025" x14ac:dyDescent="0.25">
      <c r="A205" s="2" t="s">
        <v>460</v>
      </c>
      <c r="B205" s="54" t="s">
        <v>138</v>
      </c>
      <c r="C205" s="55">
        <v>9.5</v>
      </c>
      <c r="D205" s="55">
        <v>14.4</v>
      </c>
      <c r="E205" s="55">
        <v>24.2</v>
      </c>
      <c r="F205" s="55">
        <v>268</v>
      </c>
      <c r="G205" s="55">
        <v>28.4</v>
      </c>
      <c r="H205" s="55">
        <v>16.8</v>
      </c>
      <c r="I205" s="55">
        <v>1.5</v>
      </c>
      <c r="J205" s="55">
        <v>0</v>
      </c>
      <c r="K205" s="1" t="s">
        <v>461</v>
      </c>
    </row>
    <row r="206" spans="1:1025" x14ac:dyDescent="0.25">
      <c r="A206" s="76" t="s">
        <v>460</v>
      </c>
      <c r="B206" s="54" t="s">
        <v>138</v>
      </c>
      <c r="C206" s="55">
        <v>9.5</v>
      </c>
      <c r="D206" s="55">
        <v>14.4</v>
      </c>
      <c r="E206" s="55">
        <v>24.2</v>
      </c>
      <c r="F206" s="55">
        <v>268</v>
      </c>
      <c r="G206" s="55">
        <v>28.4</v>
      </c>
      <c r="H206" s="55">
        <v>16.8</v>
      </c>
      <c r="I206" s="55">
        <v>1.5</v>
      </c>
      <c r="J206" s="55">
        <v>0</v>
      </c>
      <c r="K206" s="75" t="s">
        <v>461</v>
      </c>
    </row>
    <row r="207" spans="1:1025" x14ac:dyDescent="0.25">
      <c r="A207" s="2" t="s">
        <v>462</v>
      </c>
      <c r="B207" s="54" t="s">
        <v>138</v>
      </c>
      <c r="C207" s="55">
        <v>0.4</v>
      </c>
      <c r="D207" s="55">
        <v>0.3</v>
      </c>
      <c r="E207" s="55">
        <v>10.3</v>
      </c>
      <c r="F207" s="55">
        <v>45.5</v>
      </c>
      <c r="G207" s="55">
        <v>19</v>
      </c>
      <c r="H207" s="55">
        <v>12</v>
      </c>
      <c r="I207" s="55">
        <v>2.2999999999999998</v>
      </c>
      <c r="J207" s="55">
        <v>5</v>
      </c>
      <c r="K207" s="1" t="s">
        <v>463</v>
      </c>
    </row>
    <row r="208" spans="1:1025" x14ac:dyDescent="0.25">
      <c r="A208" s="2" t="s">
        <v>464</v>
      </c>
      <c r="B208" s="54" t="s">
        <v>138</v>
      </c>
      <c r="C208" s="55">
        <v>0.4</v>
      </c>
      <c r="D208" s="55">
        <v>0.2</v>
      </c>
      <c r="E208" s="55">
        <v>9.8000000000000007</v>
      </c>
      <c r="F208" s="55">
        <v>42.6</v>
      </c>
      <c r="G208" s="55">
        <v>16</v>
      </c>
      <c r="H208" s="55">
        <v>9</v>
      </c>
      <c r="I208" s="55">
        <v>2.2000000000000002</v>
      </c>
      <c r="J208" s="55">
        <v>10</v>
      </c>
      <c r="K208" s="1" t="s">
        <v>465</v>
      </c>
    </row>
    <row r="209" spans="1:1025" x14ac:dyDescent="0.25">
      <c r="A209" s="2" t="s">
        <v>466</v>
      </c>
      <c r="B209" s="54" t="s">
        <v>138</v>
      </c>
      <c r="C209" s="55">
        <v>0.8</v>
      </c>
      <c r="D209" s="55">
        <v>0.3</v>
      </c>
      <c r="E209" s="55">
        <v>11.5</v>
      </c>
      <c r="F209" s="55">
        <v>53</v>
      </c>
      <c r="G209" s="55">
        <v>37</v>
      </c>
      <c r="H209" s="55">
        <v>12</v>
      </c>
      <c r="I209" s="55">
        <v>0.15</v>
      </c>
      <c r="J209" s="55">
        <v>26.7</v>
      </c>
      <c r="K209" s="1" t="s">
        <v>467</v>
      </c>
    </row>
    <row r="210" spans="1:1025" x14ac:dyDescent="0.25">
      <c r="A210" s="2" t="s">
        <v>468</v>
      </c>
      <c r="B210" s="54" t="s">
        <v>138</v>
      </c>
      <c r="C210" s="55">
        <v>0.9</v>
      </c>
      <c r="D210" s="55">
        <v>0.2</v>
      </c>
      <c r="E210" s="55">
        <v>8.1</v>
      </c>
      <c r="F210" s="55">
        <v>43</v>
      </c>
      <c r="G210" s="55">
        <v>34</v>
      </c>
      <c r="H210" s="55">
        <v>13</v>
      </c>
      <c r="I210" s="55">
        <v>0.3</v>
      </c>
      <c r="J210" s="55">
        <v>60</v>
      </c>
      <c r="K210" s="1" t="s">
        <v>469</v>
      </c>
    </row>
    <row r="211" spans="1:1025" x14ac:dyDescent="0.25">
      <c r="A211" s="2" t="s">
        <v>57</v>
      </c>
      <c r="B211" s="54" t="s">
        <v>138</v>
      </c>
      <c r="C211" s="55">
        <v>1.5</v>
      </c>
      <c r="D211" s="55">
        <v>0.5</v>
      </c>
      <c r="E211" s="55">
        <v>21</v>
      </c>
      <c r="F211" s="55">
        <v>94.5</v>
      </c>
      <c r="G211" s="55">
        <v>8</v>
      </c>
      <c r="H211" s="55">
        <v>42</v>
      </c>
      <c r="I211" s="55">
        <v>0.6</v>
      </c>
      <c r="J211" s="55">
        <v>10</v>
      </c>
      <c r="K211" s="1" t="s">
        <v>470</v>
      </c>
    </row>
    <row r="212" spans="1:1025" x14ac:dyDescent="0.25">
      <c r="A212" s="61" t="s">
        <v>482</v>
      </c>
      <c r="B212" s="54" t="s">
        <v>138</v>
      </c>
      <c r="C212" s="55">
        <v>0.9</v>
      </c>
      <c r="D212" s="55">
        <v>0.1</v>
      </c>
      <c r="E212" s="55">
        <v>9.5</v>
      </c>
      <c r="F212" s="55">
        <v>45</v>
      </c>
      <c r="G212" s="55">
        <v>20</v>
      </c>
      <c r="H212" s="55">
        <v>16</v>
      </c>
      <c r="I212" s="55">
        <v>0.6</v>
      </c>
      <c r="J212" s="55">
        <v>10</v>
      </c>
      <c r="K212" s="60" t="s">
        <v>483</v>
      </c>
    </row>
    <row r="213" spans="1:1025" s="57" customFormat="1" x14ac:dyDescent="0.25">
      <c r="A213" s="2"/>
      <c r="B213" s="54"/>
      <c r="C213" s="55"/>
      <c r="D213" s="55"/>
      <c r="E213" s="55"/>
      <c r="F213" s="55"/>
      <c r="G213" s="55"/>
      <c r="H213" s="55"/>
      <c r="I213" s="55"/>
      <c r="J213" s="55"/>
      <c r="K213" s="1"/>
    </row>
    <row r="214" spans="1:1025" s="57" customFormat="1" x14ac:dyDescent="0.25">
      <c r="A214" s="2" t="s">
        <v>59</v>
      </c>
      <c r="B214" s="54" t="s">
        <v>138</v>
      </c>
      <c r="C214" s="55">
        <v>7.7</v>
      </c>
      <c r="D214" s="55">
        <v>3</v>
      </c>
      <c r="E214" s="55">
        <v>50.1</v>
      </c>
      <c r="F214" s="55">
        <v>270</v>
      </c>
      <c r="G214" s="55">
        <v>22</v>
      </c>
      <c r="H214" s="55">
        <v>33</v>
      </c>
      <c r="I214" s="55">
        <v>2</v>
      </c>
      <c r="J214" s="55">
        <v>0</v>
      </c>
      <c r="K214" s="1" t="s">
        <v>471</v>
      </c>
    </row>
    <row r="215" spans="1:1025" s="57" customFormat="1" x14ac:dyDescent="0.25">
      <c r="A215" s="2" t="s">
        <v>65</v>
      </c>
      <c r="B215" s="54" t="s">
        <v>138</v>
      </c>
      <c r="C215" s="55">
        <v>6.6</v>
      </c>
      <c r="D215" s="55">
        <v>1.2</v>
      </c>
      <c r="E215" s="55">
        <v>33.4</v>
      </c>
      <c r="F215" s="55">
        <v>193</v>
      </c>
      <c r="G215" s="55">
        <v>35</v>
      </c>
      <c r="H215" s="55">
        <v>47</v>
      </c>
      <c r="I215" s="55">
        <v>3.9</v>
      </c>
      <c r="J215" s="55">
        <v>0</v>
      </c>
      <c r="K215" s="1" t="s">
        <v>471</v>
      </c>
    </row>
    <row r="216" spans="1:1025" x14ac:dyDescent="0.25">
      <c r="A216" s="2" t="s">
        <v>66</v>
      </c>
      <c r="B216" s="54" t="s">
        <v>138</v>
      </c>
      <c r="C216" s="55">
        <v>6.6</v>
      </c>
      <c r="D216" s="55">
        <v>0.6</v>
      </c>
      <c r="E216" s="55">
        <v>46.8</v>
      </c>
      <c r="F216" s="55">
        <v>224</v>
      </c>
      <c r="G216" s="55">
        <v>0</v>
      </c>
      <c r="H216" s="55">
        <v>0</v>
      </c>
      <c r="I216" s="55">
        <v>0</v>
      </c>
      <c r="J216" s="55">
        <v>0</v>
      </c>
      <c r="K216" s="1" t="s">
        <v>471</v>
      </c>
    </row>
    <row r="217" spans="1:1025" x14ac:dyDescent="0.25">
      <c r="A217" s="58" t="s">
        <v>472</v>
      </c>
      <c r="B217" s="54" t="s">
        <v>473</v>
      </c>
      <c r="C217" s="55">
        <v>5.0999999999999996</v>
      </c>
      <c r="D217" s="55">
        <v>1.9</v>
      </c>
      <c r="E217" s="55">
        <v>7.4</v>
      </c>
      <c r="F217" s="55">
        <v>70</v>
      </c>
      <c r="G217" s="55">
        <v>155</v>
      </c>
      <c r="H217" s="55">
        <v>18.8</v>
      </c>
      <c r="I217" s="55">
        <v>0.1</v>
      </c>
      <c r="J217" s="55">
        <v>0.8</v>
      </c>
      <c r="K217" s="54" t="s">
        <v>471</v>
      </c>
    </row>
    <row r="218" spans="1:1025" x14ac:dyDescent="0.25">
      <c r="A218" s="58" t="s">
        <v>474</v>
      </c>
      <c r="B218" s="54" t="s">
        <v>138</v>
      </c>
      <c r="C218" s="55">
        <v>0.4</v>
      </c>
      <c r="D218" s="55">
        <v>0</v>
      </c>
      <c r="E218" s="55">
        <v>65</v>
      </c>
      <c r="F218" s="55">
        <v>252</v>
      </c>
      <c r="G218" s="55">
        <v>14</v>
      </c>
      <c r="H218" s="55">
        <v>7</v>
      </c>
      <c r="I218" s="55">
        <v>1.3</v>
      </c>
      <c r="J218" s="55">
        <v>0.5</v>
      </c>
      <c r="K218" s="54" t="s">
        <v>471</v>
      </c>
    </row>
    <row r="219" spans="1:1025" x14ac:dyDescent="0.25">
      <c r="A219" s="58" t="s">
        <v>700</v>
      </c>
      <c r="B219" s="54" t="s">
        <v>118</v>
      </c>
      <c r="C219" s="55">
        <v>1</v>
      </c>
      <c r="D219" s="55">
        <v>0.2</v>
      </c>
      <c r="E219" s="55">
        <v>20.2</v>
      </c>
      <c r="F219" s="55">
        <v>86</v>
      </c>
      <c r="G219" s="55">
        <v>14</v>
      </c>
      <c r="H219" s="55">
        <v>8</v>
      </c>
      <c r="I219" s="55">
        <v>2.8</v>
      </c>
      <c r="J219" s="55">
        <v>4</v>
      </c>
      <c r="K219" s="54" t="s">
        <v>471</v>
      </c>
    </row>
    <row r="220" spans="1:1025" x14ac:dyDescent="0.25">
      <c r="A220" s="58" t="s">
        <v>480</v>
      </c>
      <c r="B220" s="54" t="s">
        <v>481</v>
      </c>
      <c r="C220" s="55">
        <v>0.06</v>
      </c>
      <c r="D220" s="55">
        <v>0</v>
      </c>
      <c r="E220" s="55">
        <v>9.75</v>
      </c>
      <c r="F220" s="55">
        <v>37.799999999999997</v>
      </c>
      <c r="G220" s="55">
        <v>2.1</v>
      </c>
      <c r="H220" s="55">
        <v>1.05</v>
      </c>
      <c r="I220" s="55">
        <v>0.19500000000000001</v>
      </c>
      <c r="J220" s="55">
        <v>7.4999999999999997E-2</v>
      </c>
      <c r="K220" s="54" t="s">
        <v>471</v>
      </c>
    </row>
    <row r="221" spans="1:1025" ht="15" customHeight="1" x14ac:dyDescent="0.25">
      <c r="A221" s="58" t="s">
        <v>487</v>
      </c>
      <c r="B221" s="54" t="s">
        <v>488</v>
      </c>
      <c r="C221" s="55">
        <v>0.08</v>
      </c>
      <c r="D221" s="55">
        <v>0</v>
      </c>
      <c r="E221" s="55">
        <v>13</v>
      </c>
      <c r="F221" s="55">
        <v>50.4</v>
      </c>
      <c r="G221" s="55">
        <v>2.8</v>
      </c>
      <c r="H221" s="55">
        <v>1.4</v>
      </c>
      <c r="I221" s="55">
        <v>0.26</v>
      </c>
      <c r="J221" s="55">
        <v>0.1</v>
      </c>
      <c r="K221" s="54" t="s">
        <v>471</v>
      </c>
    </row>
    <row r="222" spans="1:1025" x14ac:dyDescent="0.25">
      <c r="A222" s="58" t="s">
        <v>484</v>
      </c>
      <c r="B222" s="54" t="s">
        <v>485</v>
      </c>
      <c r="C222" s="55">
        <v>0.24</v>
      </c>
      <c r="D222" s="55">
        <v>0.03</v>
      </c>
      <c r="E222" s="55">
        <v>23.94</v>
      </c>
      <c r="F222" s="55">
        <v>94.15</v>
      </c>
      <c r="G222" s="55">
        <v>7.5</v>
      </c>
      <c r="H222" s="55">
        <v>1.8</v>
      </c>
      <c r="I222" s="55">
        <v>0.42</v>
      </c>
      <c r="J222" s="55">
        <v>0</v>
      </c>
      <c r="K222" s="54" t="s">
        <v>471</v>
      </c>
    </row>
    <row r="223" spans="1:1025" ht="15" customHeight="1" x14ac:dyDescent="0.25">
      <c r="A223" s="77" t="s">
        <v>513</v>
      </c>
      <c r="B223" s="54" t="s">
        <v>118</v>
      </c>
      <c r="C223" s="55">
        <v>0</v>
      </c>
      <c r="D223" s="55">
        <v>0</v>
      </c>
      <c r="E223" s="55">
        <v>19</v>
      </c>
      <c r="F223" s="55">
        <v>72</v>
      </c>
      <c r="G223" s="55">
        <v>0</v>
      </c>
      <c r="H223" s="55">
        <v>0</v>
      </c>
      <c r="I223" s="55">
        <v>0</v>
      </c>
      <c r="J223" s="55">
        <v>8</v>
      </c>
      <c r="K223" s="110" t="s">
        <v>548</v>
      </c>
    </row>
    <row r="224" spans="1:1025" s="80" customFormat="1" x14ac:dyDescent="0.25">
      <c r="A224" s="82" t="s">
        <v>517</v>
      </c>
      <c r="B224" s="54" t="s">
        <v>138</v>
      </c>
      <c r="C224" s="55">
        <v>16.8</v>
      </c>
      <c r="D224" s="55">
        <v>6.7</v>
      </c>
      <c r="E224" s="55">
        <v>4.5</v>
      </c>
      <c r="F224" s="55">
        <v>147</v>
      </c>
      <c r="G224" s="55">
        <v>25.4</v>
      </c>
      <c r="H224" s="55">
        <v>0</v>
      </c>
      <c r="I224" s="55">
        <v>0.8</v>
      </c>
      <c r="J224" s="55">
        <v>0.8</v>
      </c>
      <c r="K224" s="81" t="s">
        <v>518</v>
      </c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  <c r="BE224" s="48"/>
      <c r="BF224" s="48"/>
      <c r="BG224" s="48"/>
      <c r="BH224" s="48"/>
      <c r="BI224" s="48"/>
      <c r="BJ224" s="48"/>
      <c r="BK224" s="48"/>
      <c r="BL224" s="48"/>
      <c r="BM224" s="48"/>
      <c r="BN224" s="48"/>
      <c r="BO224" s="48"/>
      <c r="BP224" s="48"/>
      <c r="BQ224" s="48"/>
      <c r="BR224" s="48"/>
      <c r="BS224" s="48"/>
      <c r="BT224" s="48"/>
      <c r="BU224" s="48"/>
      <c r="BV224" s="48"/>
      <c r="BW224" s="48"/>
      <c r="BX224" s="48"/>
      <c r="BY224" s="48"/>
      <c r="BZ224" s="48"/>
      <c r="CA224" s="48"/>
      <c r="CB224" s="48"/>
      <c r="CC224" s="48"/>
      <c r="CD224" s="48"/>
      <c r="CE224" s="48"/>
      <c r="CF224" s="48"/>
      <c r="CG224" s="48"/>
      <c r="CH224" s="48"/>
      <c r="CI224" s="48"/>
      <c r="CJ224" s="48"/>
      <c r="CK224" s="48"/>
      <c r="CL224" s="48"/>
      <c r="CM224" s="48"/>
      <c r="CN224" s="48"/>
      <c r="CO224" s="48"/>
      <c r="CP224" s="48"/>
      <c r="CQ224" s="48"/>
      <c r="CR224" s="48"/>
      <c r="CS224" s="48"/>
      <c r="CT224" s="48"/>
      <c r="CU224" s="48"/>
      <c r="CV224" s="48"/>
      <c r="CW224" s="48"/>
      <c r="CX224" s="48"/>
      <c r="CY224" s="48"/>
      <c r="CZ224" s="48"/>
      <c r="DA224" s="48"/>
      <c r="DB224" s="48"/>
      <c r="DC224" s="48"/>
      <c r="DD224" s="48"/>
      <c r="DE224" s="48"/>
      <c r="DF224" s="48"/>
      <c r="DG224" s="48"/>
      <c r="DH224" s="48"/>
      <c r="DI224" s="48"/>
      <c r="DJ224" s="48"/>
      <c r="DK224" s="48"/>
      <c r="DL224" s="48"/>
      <c r="DM224" s="48"/>
      <c r="DN224" s="48"/>
      <c r="DO224" s="48"/>
      <c r="DP224" s="48"/>
      <c r="DQ224" s="48"/>
      <c r="DR224" s="48"/>
      <c r="DS224" s="48"/>
      <c r="DT224" s="48"/>
      <c r="DU224" s="48"/>
      <c r="DV224" s="48"/>
      <c r="DW224" s="48"/>
      <c r="DX224" s="48"/>
      <c r="DY224" s="48"/>
      <c r="DZ224" s="48"/>
      <c r="EA224" s="48"/>
      <c r="EB224" s="48"/>
      <c r="EC224" s="48"/>
      <c r="ED224" s="48"/>
      <c r="EE224" s="48"/>
      <c r="EF224" s="48"/>
      <c r="EG224" s="48"/>
      <c r="EH224" s="48"/>
      <c r="EI224" s="48"/>
      <c r="EJ224" s="48"/>
      <c r="EK224" s="48"/>
      <c r="EL224" s="48"/>
      <c r="EM224" s="48"/>
      <c r="EN224" s="48"/>
      <c r="EO224" s="48"/>
      <c r="EP224" s="48"/>
      <c r="EQ224" s="48"/>
      <c r="ER224" s="48"/>
      <c r="ES224" s="48"/>
      <c r="ET224" s="48"/>
      <c r="EU224" s="48"/>
      <c r="EV224" s="48"/>
      <c r="EW224" s="48"/>
      <c r="EX224" s="48"/>
      <c r="EY224" s="48"/>
      <c r="EZ224" s="48"/>
      <c r="FA224" s="48"/>
      <c r="FB224" s="48"/>
      <c r="FC224" s="48"/>
      <c r="FD224" s="48"/>
      <c r="FE224" s="48"/>
      <c r="FF224" s="48"/>
      <c r="FG224" s="48"/>
      <c r="FH224" s="48"/>
      <c r="FI224" s="48"/>
      <c r="FJ224" s="48"/>
      <c r="FK224" s="48"/>
      <c r="FL224" s="48"/>
      <c r="FM224" s="48"/>
      <c r="FN224" s="48"/>
      <c r="FO224" s="48"/>
      <c r="FP224" s="48"/>
      <c r="FQ224" s="48"/>
      <c r="FR224" s="48"/>
      <c r="FS224" s="48"/>
      <c r="FT224" s="48"/>
      <c r="FU224" s="48"/>
      <c r="FV224" s="48"/>
      <c r="FW224" s="48"/>
      <c r="FX224" s="48"/>
      <c r="FY224" s="48"/>
      <c r="FZ224" s="48"/>
      <c r="GA224" s="48"/>
      <c r="GB224" s="48"/>
      <c r="GC224" s="48"/>
      <c r="GD224" s="48"/>
      <c r="GE224" s="48"/>
      <c r="GF224" s="48"/>
      <c r="GG224" s="48"/>
      <c r="GH224" s="48"/>
      <c r="GI224" s="48"/>
      <c r="GJ224" s="48"/>
      <c r="GK224" s="48"/>
      <c r="GL224" s="48"/>
      <c r="GM224" s="48"/>
      <c r="GN224" s="48"/>
      <c r="GO224" s="48"/>
      <c r="GP224" s="48"/>
      <c r="GQ224" s="48"/>
      <c r="GR224" s="48"/>
      <c r="GS224" s="48"/>
      <c r="GT224" s="48"/>
      <c r="GU224" s="48"/>
      <c r="GV224" s="48"/>
      <c r="GW224" s="48"/>
      <c r="GX224" s="48"/>
      <c r="GY224" s="48"/>
      <c r="GZ224" s="48"/>
      <c r="HA224" s="48"/>
      <c r="HB224" s="48"/>
      <c r="HC224" s="48"/>
      <c r="HD224" s="48"/>
      <c r="HE224" s="48"/>
      <c r="HF224" s="48"/>
      <c r="HG224" s="48"/>
      <c r="HH224" s="48"/>
      <c r="HI224" s="48"/>
      <c r="HJ224" s="48"/>
      <c r="HK224" s="48"/>
      <c r="HL224" s="48"/>
      <c r="HM224" s="48"/>
      <c r="HN224" s="48"/>
      <c r="HO224" s="48"/>
      <c r="HP224" s="48"/>
      <c r="HQ224" s="48"/>
      <c r="HR224" s="48"/>
      <c r="HS224" s="48"/>
      <c r="HT224" s="48"/>
      <c r="HU224" s="48"/>
      <c r="HV224" s="48"/>
      <c r="HW224" s="48"/>
      <c r="HX224" s="48"/>
      <c r="HY224" s="48"/>
      <c r="HZ224" s="48"/>
      <c r="IA224" s="48"/>
      <c r="IB224" s="48"/>
      <c r="IC224" s="48"/>
      <c r="ID224" s="48"/>
      <c r="IE224" s="48"/>
      <c r="IF224" s="48"/>
      <c r="IG224" s="48"/>
      <c r="IH224" s="48"/>
      <c r="II224" s="48"/>
      <c r="IJ224" s="48"/>
      <c r="IK224" s="48"/>
      <c r="IL224" s="48"/>
      <c r="IM224" s="48"/>
      <c r="IN224" s="48"/>
      <c r="IO224" s="48"/>
      <c r="IP224" s="48"/>
      <c r="IQ224" s="48"/>
      <c r="IR224" s="48"/>
      <c r="IS224" s="48"/>
      <c r="IT224" s="48"/>
      <c r="IU224" s="48"/>
      <c r="IV224" s="48"/>
      <c r="IW224" s="48"/>
      <c r="IX224" s="48"/>
      <c r="IY224" s="48"/>
      <c r="IZ224" s="48"/>
      <c r="JA224" s="48"/>
      <c r="JB224" s="48"/>
      <c r="JC224" s="48"/>
      <c r="JD224" s="48"/>
      <c r="JE224" s="48"/>
      <c r="JF224" s="48"/>
      <c r="JG224" s="48"/>
      <c r="JH224" s="48"/>
      <c r="JI224" s="48"/>
      <c r="JJ224" s="48"/>
      <c r="JK224" s="48"/>
      <c r="JL224" s="48"/>
      <c r="JM224" s="48"/>
      <c r="JN224" s="48"/>
      <c r="JO224" s="48"/>
      <c r="JP224" s="48"/>
      <c r="JQ224" s="48"/>
      <c r="JR224" s="48"/>
      <c r="JS224" s="48"/>
      <c r="JT224" s="48"/>
      <c r="JU224" s="48"/>
      <c r="JV224" s="48"/>
      <c r="JW224" s="48"/>
      <c r="JX224" s="48"/>
      <c r="JY224" s="48"/>
      <c r="JZ224" s="48"/>
      <c r="KA224" s="48"/>
      <c r="KB224" s="48"/>
      <c r="KC224" s="48"/>
      <c r="KD224" s="48"/>
      <c r="KE224" s="48"/>
      <c r="KF224" s="48"/>
      <c r="KG224" s="48"/>
      <c r="KH224" s="48"/>
      <c r="KI224" s="48"/>
      <c r="KJ224" s="48"/>
      <c r="KK224" s="48"/>
      <c r="KL224" s="48"/>
      <c r="KM224" s="48"/>
      <c r="KN224" s="48"/>
      <c r="KO224" s="48"/>
      <c r="KP224" s="48"/>
      <c r="KQ224" s="48"/>
      <c r="KR224" s="48"/>
      <c r="KS224" s="48"/>
      <c r="KT224" s="48"/>
      <c r="KU224" s="48"/>
      <c r="KV224" s="48"/>
      <c r="KW224" s="48"/>
      <c r="KX224" s="48"/>
      <c r="KY224" s="48"/>
      <c r="KZ224" s="48"/>
      <c r="LA224" s="48"/>
      <c r="LB224" s="48"/>
      <c r="LC224" s="48"/>
      <c r="LD224" s="48"/>
      <c r="LE224" s="48"/>
      <c r="LF224" s="48"/>
      <c r="LG224" s="48"/>
      <c r="LH224" s="48"/>
      <c r="LI224" s="48"/>
      <c r="LJ224" s="48"/>
      <c r="LK224" s="48"/>
      <c r="LL224" s="48"/>
      <c r="LM224" s="48"/>
      <c r="LN224" s="48"/>
      <c r="LO224" s="48"/>
      <c r="LP224" s="48"/>
      <c r="LQ224" s="48"/>
      <c r="LR224" s="48"/>
      <c r="LS224" s="48"/>
      <c r="LT224" s="48"/>
      <c r="LU224" s="48"/>
      <c r="LV224" s="48"/>
      <c r="LW224" s="48"/>
      <c r="LX224" s="48"/>
      <c r="LY224" s="48"/>
      <c r="LZ224" s="48"/>
      <c r="MA224" s="48"/>
      <c r="MB224" s="48"/>
      <c r="MC224" s="48"/>
      <c r="MD224" s="48"/>
      <c r="ME224" s="48"/>
      <c r="MF224" s="48"/>
      <c r="MG224" s="48"/>
      <c r="MH224" s="48"/>
      <c r="MI224" s="48"/>
      <c r="MJ224" s="48"/>
      <c r="MK224" s="48"/>
      <c r="ML224" s="48"/>
      <c r="MM224" s="48"/>
      <c r="MN224" s="48"/>
      <c r="MO224" s="48"/>
      <c r="MP224" s="48"/>
      <c r="MQ224" s="48"/>
      <c r="MR224" s="48"/>
      <c r="MS224" s="48"/>
      <c r="MT224" s="48"/>
      <c r="MU224" s="48"/>
      <c r="MV224" s="48"/>
      <c r="MW224" s="48"/>
      <c r="MX224" s="48"/>
      <c r="MY224" s="48"/>
      <c r="MZ224" s="48"/>
      <c r="NA224" s="48"/>
      <c r="NB224" s="48"/>
      <c r="NC224" s="48"/>
      <c r="ND224" s="48"/>
      <c r="NE224" s="48"/>
      <c r="NF224" s="48"/>
      <c r="NG224" s="48"/>
      <c r="NH224" s="48"/>
      <c r="NI224" s="48"/>
      <c r="NJ224" s="48"/>
      <c r="NK224" s="48"/>
      <c r="NL224" s="48"/>
      <c r="NM224" s="48"/>
      <c r="NN224" s="48"/>
      <c r="NO224" s="48"/>
      <c r="NP224" s="48"/>
      <c r="NQ224" s="48"/>
      <c r="NR224" s="48"/>
      <c r="NS224" s="48"/>
      <c r="NT224" s="48"/>
      <c r="NU224" s="48"/>
      <c r="NV224" s="48"/>
      <c r="NW224" s="48"/>
      <c r="NX224" s="48"/>
      <c r="NY224" s="48"/>
      <c r="NZ224" s="48"/>
      <c r="OA224" s="48"/>
      <c r="OB224" s="48"/>
      <c r="OC224" s="48"/>
      <c r="OD224" s="48"/>
      <c r="OE224" s="48"/>
      <c r="OF224" s="48"/>
      <c r="OG224" s="48"/>
      <c r="OH224" s="48"/>
      <c r="OI224" s="48"/>
      <c r="OJ224" s="48"/>
      <c r="OK224" s="48"/>
      <c r="OL224" s="48"/>
      <c r="OM224" s="48"/>
      <c r="ON224" s="48"/>
      <c r="OO224" s="48"/>
      <c r="OP224" s="48"/>
      <c r="OQ224" s="48"/>
      <c r="OR224" s="48"/>
      <c r="OS224" s="48"/>
      <c r="OT224" s="48"/>
      <c r="OU224" s="48"/>
      <c r="OV224" s="48"/>
      <c r="OW224" s="48"/>
      <c r="OX224" s="48"/>
      <c r="OY224" s="48"/>
      <c r="OZ224" s="48"/>
      <c r="PA224" s="48"/>
      <c r="PB224" s="48"/>
      <c r="PC224" s="48"/>
      <c r="PD224" s="48"/>
      <c r="PE224" s="48"/>
      <c r="PF224" s="48"/>
      <c r="PG224" s="48"/>
      <c r="PH224" s="48"/>
      <c r="PI224" s="48"/>
      <c r="PJ224" s="48"/>
      <c r="PK224" s="48"/>
      <c r="PL224" s="48"/>
      <c r="PM224" s="48"/>
      <c r="PN224" s="48"/>
      <c r="PO224" s="48"/>
      <c r="PP224" s="48"/>
      <c r="PQ224" s="48"/>
      <c r="PR224" s="48"/>
      <c r="PS224" s="48"/>
      <c r="PT224" s="48"/>
      <c r="PU224" s="48"/>
      <c r="PV224" s="48"/>
      <c r="PW224" s="48"/>
      <c r="PX224" s="48"/>
      <c r="PY224" s="48"/>
      <c r="PZ224" s="48"/>
      <c r="QA224" s="48"/>
      <c r="QB224" s="48"/>
      <c r="QC224" s="48"/>
      <c r="QD224" s="48"/>
      <c r="QE224" s="48"/>
      <c r="QF224" s="48"/>
      <c r="QG224" s="48"/>
      <c r="QH224" s="48"/>
      <c r="QI224" s="48"/>
      <c r="QJ224" s="48"/>
      <c r="QK224" s="48"/>
      <c r="QL224" s="48"/>
      <c r="QM224" s="48"/>
      <c r="QN224" s="48"/>
      <c r="QO224" s="48"/>
      <c r="QP224" s="48"/>
      <c r="QQ224" s="48"/>
      <c r="QR224" s="48"/>
      <c r="QS224" s="48"/>
      <c r="QT224" s="48"/>
      <c r="QU224" s="48"/>
      <c r="QV224" s="48"/>
      <c r="QW224" s="48"/>
      <c r="QX224" s="48"/>
      <c r="QY224" s="48"/>
      <c r="QZ224" s="48"/>
      <c r="RA224" s="48"/>
      <c r="RB224" s="48"/>
      <c r="RC224" s="48"/>
      <c r="RD224" s="48"/>
      <c r="RE224" s="48"/>
      <c r="RF224" s="48"/>
      <c r="RG224" s="48"/>
      <c r="RH224" s="48"/>
      <c r="RI224" s="48"/>
      <c r="RJ224" s="48"/>
      <c r="RK224" s="48"/>
      <c r="RL224" s="48"/>
      <c r="RM224" s="48"/>
      <c r="RN224" s="48"/>
      <c r="RO224" s="48"/>
      <c r="RP224" s="48"/>
      <c r="RQ224" s="48"/>
      <c r="RR224" s="48"/>
      <c r="RS224" s="48"/>
      <c r="RT224" s="48"/>
      <c r="RU224" s="48"/>
      <c r="RV224" s="48"/>
      <c r="RW224" s="48"/>
      <c r="RX224" s="48"/>
      <c r="RY224" s="48"/>
      <c r="RZ224" s="48"/>
      <c r="SA224" s="48"/>
      <c r="SB224" s="48"/>
      <c r="SC224" s="48"/>
      <c r="SD224" s="48"/>
      <c r="SE224" s="48"/>
      <c r="SF224" s="48"/>
      <c r="SG224" s="48"/>
      <c r="SH224" s="48"/>
      <c r="SI224" s="48"/>
      <c r="SJ224" s="48"/>
      <c r="SK224" s="48"/>
      <c r="SL224" s="48"/>
      <c r="SM224" s="48"/>
      <c r="SN224" s="48"/>
      <c r="SO224" s="48"/>
      <c r="SP224" s="48"/>
      <c r="SQ224" s="48"/>
      <c r="SR224" s="48"/>
      <c r="SS224" s="48"/>
      <c r="ST224" s="48"/>
      <c r="SU224" s="48"/>
      <c r="SV224" s="48"/>
      <c r="SW224" s="48"/>
      <c r="SX224" s="48"/>
      <c r="SY224" s="48"/>
      <c r="SZ224" s="48"/>
      <c r="TA224" s="48"/>
      <c r="TB224" s="48"/>
      <c r="TC224" s="48"/>
      <c r="TD224" s="48"/>
      <c r="TE224" s="48"/>
      <c r="TF224" s="48"/>
      <c r="TG224" s="48"/>
      <c r="TH224" s="48"/>
      <c r="TI224" s="48"/>
      <c r="TJ224" s="48"/>
      <c r="TK224" s="48"/>
      <c r="TL224" s="48"/>
      <c r="TM224" s="48"/>
      <c r="TN224" s="48"/>
      <c r="TO224" s="48"/>
      <c r="TP224" s="48"/>
      <c r="TQ224" s="48"/>
      <c r="TR224" s="48"/>
      <c r="TS224" s="48"/>
      <c r="TT224" s="48"/>
      <c r="TU224" s="48"/>
      <c r="TV224" s="48"/>
      <c r="TW224" s="48"/>
      <c r="TX224" s="48"/>
      <c r="TY224" s="48"/>
      <c r="TZ224" s="48"/>
      <c r="UA224" s="48"/>
      <c r="UB224" s="48"/>
      <c r="UC224" s="48"/>
      <c r="UD224" s="48"/>
      <c r="UE224" s="48"/>
      <c r="UF224" s="48"/>
      <c r="UG224" s="48"/>
      <c r="UH224" s="48"/>
      <c r="UI224" s="48"/>
      <c r="UJ224" s="48"/>
      <c r="UK224" s="48"/>
      <c r="UL224" s="48"/>
      <c r="UM224" s="48"/>
      <c r="UN224" s="48"/>
      <c r="UO224" s="48"/>
      <c r="UP224" s="48"/>
      <c r="UQ224" s="48"/>
      <c r="UR224" s="48"/>
      <c r="US224" s="48"/>
      <c r="UT224" s="48"/>
      <c r="UU224" s="48"/>
      <c r="UV224" s="48"/>
      <c r="UW224" s="48"/>
      <c r="UX224" s="48"/>
      <c r="UY224" s="48"/>
      <c r="UZ224" s="48"/>
      <c r="VA224" s="48"/>
      <c r="VB224" s="48"/>
      <c r="VC224" s="48"/>
      <c r="VD224" s="48"/>
      <c r="VE224" s="48"/>
      <c r="VF224" s="48"/>
      <c r="VG224" s="48"/>
      <c r="VH224" s="48"/>
      <c r="VI224" s="48"/>
      <c r="VJ224" s="48"/>
      <c r="VK224" s="48"/>
      <c r="VL224" s="48"/>
      <c r="VM224" s="48"/>
      <c r="VN224" s="48"/>
      <c r="VO224" s="48"/>
      <c r="VP224" s="48"/>
      <c r="VQ224" s="48"/>
      <c r="VR224" s="48"/>
      <c r="VS224" s="48"/>
      <c r="VT224" s="48"/>
      <c r="VU224" s="48"/>
      <c r="VV224" s="48"/>
      <c r="VW224" s="48"/>
      <c r="VX224" s="48"/>
      <c r="VY224" s="48"/>
      <c r="VZ224" s="48"/>
      <c r="WA224" s="48"/>
      <c r="WB224" s="48"/>
      <c r="WC224" s="48"/>
      <c r="WD224" s="48"/>
      <c r="WE224" s="48"/>
      <c r="WF224" s="48"/>
      <c r="WG224" s="48"/>
      <c r="WH224" s="48"/>
      <c r="WI224" s="48"/>
      <c r="WJ224" s="48"/>
      <c r="WK224" s="48"/>
      <c r="WL224" s="48"/>
      <c r="WM224" s="48"/>
      <c r="WN224" s="48"/>
      <c r="WO224" s="48"/>
      <c r="WP224" s="48"/>
      <c r="WQ224" s="48"/>
      <c r="WR224" s="48"/>
      <c r="WS224" s="48"/>
      <c r="WT224" s="48"/>
      <c r="WU224" s="48"/>
      <c r="WV224" s="48"/>
      <c r="WW224" s="48"/>
      <c r="WX224" s="48"/>
      <c r="WY224" s="48"/>
      <c r="WZ224" s="48"/>
      <c r="XA224" s="48"/>
      <c r="XB224" s="48"/>
      <c r="XC224" s="48"/>
      <c r="XD224" s="48"/>
      <c r="XE224" s="48"/>
      <c r="XF224" s="48"/>
      <c r="XG224" s="48"/>
      <c r="XH224" s="48"/>
      <c r="XI224" s="48"/>
      <c r="XJ224" s="48"/>
      <c r="XK224" s="48"/>
      <c r="XL224" s="48"/>
      <c r="XM224" s="48"/>
      <c r="XN224" s="48"/>
      <c r="XO224" s="48"/>
      <c r="XP224" s="48"/>
      <c r="XQ224" s="48"/>
      <c r="XR224" s="48"/>
      <c r="XS224" s="48"/>
      <c r="XT224" s="48"/>
      <c r="XU224" s="48"/>
      <c r="XV224" s="48"/>
      <c r="XW224" s="48"/>
      <c r="XX224" s="48"/>
      <c r="XY224" s="48"/>
      <c r="XZ224" s="48"/>
      <c r="YA224" s="48"/>
      <c r="YB224" s="48"/>
      <c r="YC224" s="48"/>
      <c r="YD224" s="48"/>
      <c r="YE224" s="48"/>
      <c r="YF224" s="48"/>
      <c r="YG224" s="48"/>
      <c r="YH224" s="48"/>
      <c r="YI224" s="48"/>
      <c r="YJ224" s="48"/>
      <c r="YK224" s="48"/>
      <c r="YL224" s="48"/>
      <c r="YM224" s="48"/>
      <c r="YN224" s="48"/>
      <c r="YO224" s="48"/>
      <c r="YP224" s="48"/>
      <c r="YQ224" s="48"/>
      <c r="YR224" s="48"/>
      <c r="YS224" s="48"/>
      <c r="YT224" s="48"/>
      <c r="YU224" s="48"/>
      <c r="YV224" s="48"/>
      <c r="YW224" s="48"/>
      <c r="YX224" s="48"/>
      <c r="YY224" s="48"/>
      <c r="YZ224" s="48"/>
      <c r="ZA224" s="48"/>
      <c r="ZB224" s="48"/>
      <c r="ZC224" s="48"/>
      <c r="ZD224" s="48"/>
      <c r="ZE224" s="48"/>
      <c r="ZF224" s="48"/>
      <c r="ZG224" s="48"/>
      <c r="ZH224" s="48"/>
      <c r="ZI224" s="48"/>
      <c r="ZJ224" s="48"/>
      <c r="ZK224" s="48"/>
      <c r="ZL224" s="48"/>
      <c r="ZM224" s="48"/>
      <c r="ZN224" s="48"/>
      <c r="ZO224" s="48"/>
      <c r="ZP224" s="48"/>
      <c r="ZQ224" s="48"/>
      <c r="ZR224" s="48"/>
      <c r="ZS224" s="48"/>
      <c r="ZT224" s="48"/>
      <c r="ZU224" s="48"/>
      <c r="ZV224" s="48"/>
      <c r="ZW224" s="48"/>
      <c r="ZX224" s="48"/>
      <c r="ZY224" s="48"/>
      <c r="ZZ224" s="48"/>
      <c r="AAA224" s="48"/>
      <c r="AAB224" s="48"/>
      <c r="AAC224" s="48"/>
      <c r="AAD224" s="48"/>
      <c r="AAE224" s="48"/>
      <c r="AAF224" s="48"/>
      <c r="AAG224" s="48"/>
      <c r="AAH224" s="48"/>
      <c r="AAI224" s="48"/>
      <c r="AAJ224" s="48"/>
      <c r="AAK224" s="48"/>
      <c r="AAL224" s="48"/>
      <c r="AAM224" s="48"/>
      <c r="AAN224" s="48"/>
      <c r="AAO224" s="48"/>
      <c r="AAP224" s="48"/>
      <c r="AAQ224" s="48"/>
      <c r="AAR224" s="48"/>
      <c r="AAS224" s="48"/>
      <c r="AAT224" s="48"/>
      <c r="AAU224" s="48"/>
      <c r="AAV224" s="48"/>
      <c r="AAW224" s="48"/>
      <c r="AAX224" s="48"/>
      <c r="AAY224" s="48"/>
      <c r="AAZ224" s="48"/>
      <c r="ABA224" s="48"/>
      <c r="ABB224" s="48"/>
      <c r="ABC224" s="48"/>
      <c r="ABD224" s="48"/>
      <c r="ABE224" s="48"/>
      <c r="ABF224" s="48"/>
      <c r="ABG224" s="48"/>
      <c r="ABH224" s="48"/>
      <c r="ABI224" s="48"/>
      <c r="ABJ224" s="48"/>
      <c r="ABK224" s="48"/>
      <c r="ABL224" s="48"/>
      <c r="ABM224" s="48"/>
      <c r="ABN224" s="48"/>
      <c r="ABO224" s="48"/>
      <c r="ABP224" s="48"/>
      <c r="ABQ224" s="48"/>
      <c r="ABR224" s="48"/>
      <c r="ABS224" s="48"/>
      <c r="ABT224" s="48"/>
      <c r="ABU224" s="48"/>
      <c r="ABV224" s="48"/>
      <c r="ABW224" s="48"/>
      <c r="ABX224" s="48"/>
      <c r="ABY224" s="48"/>
      <c r="ABZ224" s="48"/>
      <c r="ACA224" s="48"/>
      <c r="ACB224" s="48"/>
      <c r="ACC224" s="48"/>
      <c r="ACD224" s="48"/>
      <c r="ACE224" s="48"/>
      <c r="ACF224" s="48"/>
      <c r="ACG224" s="48"/>
      <c r="ACH224" s="48"/>
      <c r="ACI224" s="48"/>
      <c r="ACJ224" s="48"/>
      <c r="ACK224" s="48"/>
      <c r="ACL224" s="48"/>
      <c r="ACM224" s="48"/>
      <c r="ACN224" s="48"/>
      <c r="ACO224" s="48"/>
      <c r="ACP224" s="48"/>
      <c r="ACQ224" s="48"/>
      <c r="ACR224" s="48"/>
      <c r="ACS224" s="48"/>
      <c r="ACT224" s="48"/>
      <c r="ACU224" s="48"/>
      <c r="ACV224" s="48"/>
      <c r="ACW224" s="48"/>
      <c r="ACX224" s="48"/>
      <c r="ACY224" s="48"/>
      <c r="ACZ224" s="48"/>
      <c r="ADA224" s="48"/>
      <c r="ADB224" s="48"/>
      <c r="ADC224" s="48"/>
      <c r="ADD224" s="48"/>
      <c r="ADE224" s="48"/>
      <c r="ADF224" s="48"/>
      <c r="ADG224" s="48"/>
      <c r="ADH224" s="48"/>
      <c r="ADI224" s="48"/>
      <c r="ADJ224" s="48"/>
      <c r="ADK224" s="48"/>
      <c r="ADL224" s="48"/>
      <c r="ADM224" s="48"/>
      <c r="ADN224" s="48"/>
      <c r="ADO224" s="48"/>
      <c r="ADP224" s="48"/>
      <c r="ADQ224" s="48"/>
      <c r="ADR224" s="48"/>
      <c r="ADS224" s="48"/>
      <c r="ADT224" s="48"/>
      <c r="ADU224" s="48"/>
      <c r="ADV224" s="48"/>
      <c r="ADW224" s="48"/>
      <c r="ADX224" s="48"/>
      <c r="ADY224" s="48"/>
      <c r="ADZ224" s="48"/>
      <c r="AEA224" s="48"/>
      <c r="AEB224" s="48"/>
      <c r="AEC224" s="48"/>
      <c r="AED224" s="48"/>
      <c r="AEE224" s="48"/>
      <c r="AEF224" s="48"/>
      <c r="AEG224" s="48"/>
      <c r="AEH224" s="48"/>
      <c r="AEI224" s="48"/>
      <c r="AEJ224" s="48"/>
      <c r="AEK224" s="48"/>
      <c r="AEL224" s="48"/>
      <c r="AEM224" s="48"/>
      <c r="AEN224" s="48"/>
      <c r="AEO224" s="48"/>
      <c r="AEP224" s="48"/>
      <c r="AEQ224" s="48"/>
      <c r="AER224" s="48"/>
      <c r="AES224" s="48"/>
      <c r="AET224" s="48"/>
      <c r="AEU224" s="48"/>
      <c r="AEV224" s="48"/>
      <c r="AEW224" s="48"/>
      <c r="AEX224" s="48"/>
      <c r="AEY224" s="48"/>
      <c r="AEZ224" s="48"/>
      <c r="AFA224" s="48"/>
      <c r="AFB224" s="48"/>
      <c r="AFC224" s="48"/>
      <c r="AFD224" s="48"/>
      <c r="AFE224" s="48"/>
      <c r="AFF224" s="48"/>
      <c r="AFG224" s="48"/>
      <c r="AFH224" s="48"/>
      <c r="AFI224" s="48"/>
      <c r="AFJ224" s="48"/>
      <c r="AFK224" s="48"/>
      <c r="AFL224" s="48"/>
      <c r="AFM224" s="48"/>
      <c r="AFN224" s="48"/>
      <c r="AFO224" s="48"/>
      <c r="AFP224" s="48"/>
      <c r="AFQ224" s="48"/>
      <c r="AFR224" s="48"/>
      <c r="AFS224" s="48"/>
      <c r="AFT224" s="48"/>
      <c r="AFU224" s="48"/>
      <c r="AFV224" s="48"/>
      <c r="AFW224" s="48"/>
      <c r="AFX224" s="48"/>
      <c r="AFY224" s="48"/>
      <c r="AFZ224" s="48"/>
      <c r="AGA224" s="48"/>
      <c r="AGB224" s="48"/>
      <c r="AGC224" s="48"/>
      <c r="AGD224" s="48"/>
      <c r="AGE224" s="48"/>
      <c r="AGF224" s="48"/>
      <c r="AGG224" s="48"/>
      <c r="AGH224" s="48"/>
      <c r="AGI224" s="48"/>
      <c r="AGJ224" s="48"/>
      <c r="AGK224" s="48"/>
      <c r="AGL224" s="48"/>
      <c r="AGM224" s="48"/>
      <c r="AGN224" s="48"/>
      <c r="AGO224" s="48"/>
      <c r="AGP224" s="48"/>
      <c r="AGQ224" s="48"/>
      <c r="AGR224" s="48"/>
      <c r="AGS224" s="48"/>
      <c r="AGT224" s="48"/>
      <c r="AGU224" s="48"/>
      <c r="AGV224" s="48"/>
      <c r="AGW224" s="48"/>
      <c r="AGX224" s="48"/>
      <c r="AGY224" s="48"/>
      <c r="AGZ224" s="48"/>
      <c r="AHA224" s="48"/>
      <c r="AHB224" s="48"/>
      <c r="AHC224" s="48"/>
      <c r="AHD224" s="48"/>
      <c r="AHE224" s="48"/>
      <c r="AHF224" s="48"/>
      <c r="AHG224" s="48"/>
      <c r="AHH224" s="48"/>
      <c r="AHI224" s="48"/>
      <c r="AHJ224" s="48"/>
      <c r="AHK224" s="48"/>
      <c r="AHL224" s="48"/>
      <c r="AHM224" s="48"/>
      <c r="AHN224" s="48"/>
      <c r="AHO224" s="48"/>
      <c r="AHP224" s="48"/>
      <c r="AHQ224" s="48"/>
      <c r="AHR224" s="48"/>
      <c r="AHS224" s="48"/>
      <c r="AHT224" s="48"/>
      <c r="AHU224" s="48"/>
      <c r="AHV224" s="48"/>
      <c r="AHW224" s="48"/>
      <c r="AHX224" s="48"/>
      <c r="AHY224" s="48"/>
      <c r="AHZ224" s="48"/>
      <c r="AIA224" s="48"/>
      <c r="AIB224" s="48"/>
      <c r="AIC224" s="48"/>
      <c r="AID224" s="48"/>
      <c r="AIE224" s="48"/>
      <c r="AIF224" s="48"/>
      <c r="AIG224" s="48"/>
      <c r="AIH224" s="48"/>
      <c r="AII224" s="48"/>
      <c r="AIJ224" s="48"/>
      <c r="AIK224" s="48"/>
      <c r="AIL224" s="48"/>
      <c r="AIM224" s="48"/>
      <c r="AIN224" s="48"/>
      <c r="AIO224" s="48"/>
      <c r="AIP224" s="48"/>
      <c r="AIQ224" s="48"/>
      <c r="AIR224" s="48"/>
      <c r="AIS224" s="48"/>
      <c r="AIT224" s="48"/>
      <c r="AIU224" s="48"/>
      <c r="AIV224" s="48"/>
      <c r="AIW224" s="48"/>
      <c r="AIX224" s="48"/>
      <c r="AIY224" s="48"/>
      <c r="AIZ224" s="48"/>
      <c r="AJA224" s="48"/>
      <c r="AJB224" s="48"/>
      <c r="AJC224" s="48"/>
      <c r="AJD224" s="48"/>
      <c r="AJE224" s="48"/>
      <c r="AJF224" s="48"/>
      <c r="AJG224" s="48"/>
      <c r="AJH224" s="48"/>
      <c r="AJI224" s="48"/>
      <c r="AJJ224" s="48"/>
      <c r="AJK224" s="48"/>
      <c r="AJL224" s="48"/>
      <c r="AJM224" s="48"/>
      <c r="AJN224" s="48"/>
      <c r="AJO224" s="48"/>
      <c r="AJP224" s="48"/>
      <c r="AJQ224" s="48"/>
      <c r="AJR224" s="48"/>
      <c r="AJS224" s="48"/>
      <c r="AJT224" s="48"/>
      <c r="AJU224" s="48"/>
      <c r="AJV224" s="48"/>
      <c r="AJW224" s="48"/>
      <c r="AJX224" s="48"/>
      <c r="AJY224" s="48"/>
      <c r="AJZ224" s="48"/>
      <c r="AKA224" s="48"/>
      <c r="AKB224" s="48"/>
      <c r="AKC224" s="48"/>
      <c r="AKD224" s="48"/>
      <c r="AKE224" s="48"/>
      <c r="AKF224" s="48"/>
      <c r="AKG224" s="48"/>
      <c r="AKH224" s="48"/>
      <c r="AKI224" s="48"/>
      <c r="AKJ224" s="48"/>
      <c r="AKK224" s="48"/>
      <c r="AKL224" s="48"/>
      <c r="AKM224" s="48"/>
      <c r="AKN224" s="48"/>
      <c r="AKO224" s="48"/>
      <c r="AKP224" s="48"/>
      <c r="AKQ224" s="48"/>
      <c r="AKR224" s="48"/>
      <c r="AKS224" s="48"/>
      <c r="AKT224" s="48"/>
      <c r="AKU224" s="48"/>
      <c r="AKV224" s="48"/>
      <c r="AKW224" s="48"/>
      <c r="AKX224" s="48"/>
      <c r="AKY224" s="48"/>
      <c r="AKZ224" s="48"/>
      <c r="ALA224" s="48"/>
      <c r="ALB224" s="48"/>
      <c r="ALC224" s="48"/>
      <c r="ALD224" s="48"/>
      <c r="ALE224" s="48"/>
      <c r="ALF224" s="48"/>
      <c r="ALG224" s="48"/>
      <c r="ALH224" s="48"/>
      <c r="ALI224" s="48"/>
      <c r="ALJ224" s="48"/>
      <c r="ALK224" s="48"/>
      <c r="ALL224" s="48"/>
      <c r="ALM224" s="48"/>
      <c r="ALN224" s="48"/>
      <c r="ALO224" s="48"/>
      <c r="ALP224" s="48"/>
      <c r="ALQ224" s="48"/>
      <c r="ALR224" s="48"/>
      <c r="ALS224" s="48"/>
      <c r="ALT224" s="48"/>
      <c r="ALU224" s="48"/>
      <c r="ALV224" s="48"/>
      <c r="ALW224" s="48"/>
      <c r="ALX224" s="48"/>
      <c r="ALY224" s="48"/>
      <c r="ALZ224" s="48"/>
      <c r="AMA224" s="48"/>
      <c r="AMB224" s="48"/>
      <c r="AMC224" s="48"/>
      <c r="AMD224" s="48"/>
      <c r="AME224" s="48"/>
      <c r="AMF224" s="48"/>
      <c r="AMG224" s="48"/>
      <c r="AMH224" s="48"/>
      <c r="AMI224" s="48"/>
      <c r="AMJ224" s="48"/>
      <c r="AMK224" s="48"/>
    </row>
    <row r="225" spans="1:1025" s="80" customFormat="1" x14ac:dyDescent="0.25">
      <c r="A225" s="82" t="s">
        <v>519</v>
      </c>
      <c r="B225" s="54" t="s">
        <v>118</v>
      </c>
      <c r="C225" s="55">
        <v>0.2</v>
      </c>
      <c r="D225" s="55">
        <v>0.1</v>
      </c>
      <c r="E225" s="55">
        <v>9.4</v>
      </c>
      <c r="F225" s="55">
        <v>38</v>
      </c>
      <c r="G225" s="55">
        <v>1.7</v>
      </c>
      <c r="H225" s="55">
        <v>0</v>
      </c>
      <c r="I225" s="55">
        <v>0.1</v>
      </c>
      <c r="J225" s="55">
        <v>0.4</v>
      </c>
      <c r="K225" s="74" t="s">
        <v>520</v>
      </c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8"/>
      <c r="BN225" s="48"/>
      <c r="BO225" s="48"/>
      <c r="BP225" s="48"/>
      <c r="BQ225" s="48"/>
      <c r="BR225" s="48"/>
      <c r="BS225" s="48"/>
      <c r="BT225" s="48"/>
      <c r="BU225" s="48"/>
      <c r="BV225" s="48"/>
      <c r="BW225" s="48"/>
      <c r="BX225" s="48"/>
      <c r="BY225" s="48"/>
      <c r="BZ225" s="48"/>
      <c r="CA225" s="48"/>
      <c r="CB225" s="48"/>
      <c r="CC225" s="48"/>
      <c r="CD225" s="48"/>
      <c r="CE225" s="48"/>
      <c r="CF225" s="48"/>
      <c r="CG225" s="48"/>
      <c r="CH225" s="48"/>
      <c r="CI225" s="48"/>
      <c r="CJ225" s="48"/>
      <c r="CK225" s="48"/>
      <c r="CL225" s="48"/>
      <c r="CM225" s="48"/>
      <c r="CN225" s="48"/>
      <c r="CO225" s="48"/>
      <c r="CP225" s="48"/>
      <c r="CQ225" s="48"/>
      <c r="CR225" s="48"/>
      <c r="CS225" s="48"/>
      <c r="CT225" s="48"/>
      <c r="CU225" s="48"/>
      <c r="CV225" s="48"/>
      <c r="CW225" s="48"/>
      <c r="CX225" s="48"/>
      <c r="CY225" s="48"/>
      <c r="CZ225" s="48"/>
      <c r="DA225" s="48"/>
      <c r="DB225" s="48"/>
      <c r="DC225" s="48"/>
      <c r="DD225" s="48"/>
      <c r="DE225" s="48"/>
      <c r="DF225" s="48"/>
      <c r="DG225" s="48"/>
      <c r="DH225" s="48"/>
      <c r="DI225" s="48"/>
      <c r="DJ225" s="48"/>
      <c r="DK225" s="48"/>
      <c r="DL225" s="48"/>
      <c r="DM225" s="48"/>
      <c r="DN225" s="48"/>
      <c r="DO225" s="48"/>
      <c r="DP225" s="48"/>
      <c r="DQ225" s="48"/>
      <c r="DR225" s="48"/>
      <c r="DS225" s="48"/>
      <c r="DT225" s="48"/>
      <c r="DU225" s="48"/>
      <c r="DV225" s="48"/>
      <c r="DW225" s="48"/>
      <c r="DX225" s="48"/>
      <c r="DY225" s="48"/>
      <c r="DZ225" s="48"/>
      <c r="EA225" s="48"/>
      <c r="EB225" s="48"/>
      <c r="EC225" s="48"/>
      <c r="ED225" s="48"/>
      <c r="EE225" s="48"/>
      <c r="EF225" s="48"/>
      <c r="EG225" s="48"/>
      <c r="EH225" s="48"/>
      <c r="EI225" s="48"/>
      <c r="EJ225" s="48"/>
      <c r="EK225" s="48"/>
      <c r="EL225" s="48"/>
      <c r="EM225" s="48"/>
      <c r="EN225" s="48"/>
      <c r="EO225" s="48"/>
      <c r="EP225" s="48"/>
      <c r="EQ225" s="48"/>
      <c r="ER225" s="48"/>
      <c r="ES225" s="48"/>
      <c r="ET225" s="48"/>
      <c r="EU225" s="48"/>
      <c r="EV225" s="48"/>
      <c r="EW225" s="48"/>
      <c r="EX225" s="48"/>
      <c r="EY225" s="48"/>
      <c r="EZ225" s="48"/>
      <c r="FA225" s="48"/>
      <c r="FB225" s="48"/>
      <c r="FC225" s="48"/>
      <c r="FD225" s="48"/>
      <c r="FE225" s="48"/>
      <c r="FF225" s="48"/>
      <c r="FG225" s="48"/>
      <c r="FH225" s="48"/>
      <c r="FI225" s="48"/>
      <c r="FJ225" s="48"/>
      <c r="FK225" s="48"/>
      <c r="FL225" s="48"/>
      <c r="FM225" s="48"/>
      <c r="FN225" s="48"/>
      <c r="FO225" s="48"/>
      <c r="FP225" s="48"/>
      <c r="FQ225" s="48"/>
      <c r="FR225" s="48"/>
      <c r="FS225" s="48"/>
      <c r="FT225" s="48"/>
      <c r="FU225" s="48"/>
      <c r="FV225" s="48"/>
      <c r="FW225" s="48"/>
      <c r="FX225" s="48"/>
      <c r="FY225" s="48"/>
      <c r="FZ225" s="48"/>
      <c r="GA225" s="48"/>
      <c r="GB225" s="48"/>
      <c r="GC225" s="48"/>
      <c r="GD225" s="48"/>
      <c r="GE225" s="48"/>
      <c r="GF225" s="48"/>
      <c r="GG225" s="48"/>
      <c r="GH225" s="48"/>
      <c r="GI225" s="48"/>
      <c r="GJ225" s="48"/>
      <c r="GK225" s="48"/>
      <c r="GL225" s="48"/>
      <c r="GM225" s="48"/>
      <c r="GN225" s="48"/>
      <c r="GO225" s="48"/>
      <c r="GP225" s="48"/>
      <c r="GQ225" s="48"/>
      <c r="GR225" s="48"/>
      <c r="GS225" s="48"/>
      <c r="GT225" s="48"/>
      <c r="GU225" s="48"/>
      <c r="GV225" s="48"/>
      <c r="GW225" s="48"/>
      <c r="GX225" s="48"/>
      <c r="GY225" s="48"/>
      <c r="GZ225" s="48"/>
      <c r="HA225" s="48"/>
      <c r="HB225" s="48"/>
      <c r="HC225" s="48"/>
      <c r="HD225" s="48"/>
      <c r="HE225" s="48"/>
      <c r="HF225" s="48"/>
      <c r="HG225" s="48"/>
      <c r="HH225" s="48"/>
      <c r="HI225" s="48"/>
      <c r="HJ225" s="48"/>
      <c r="HK225" s="48"/>
      <c r="HL225" s="48"/>
      <c r="HM225" s="48"/>
      <c r="HN225" s="48"/>
      <c r="HO225" s="48"/>
      <c r="HP225" s="48"/>
      <c r="HQ225" s="48"/>
      <c r="HR225" s="48"/>
      <c r="HS225" s="48"/>
      <c r="HT225" s="48"/>
      <c r="HU225" s="48"/>
      <c r="HV225" s="48"/>
      <c r="HW225" s="48"/>
      <c r="HX225" s="48"/>
      <c r="HY225" s="48"/>
      <c r="HZ225" s="48"/>
      <c r="IA225" s="48"/>
      <c r="IB225" s="48"/>
      <c r="IC225" s="48"/>
      <c r="ID225" s="48"/>
      <c r="IE225" s="48"/>
      <c r="IF225" s="48"/>
      <c r="IG225" s="48"/>
      <c r="IH225" s="48"/>
      <c r="II225" s="48"/>
      <c r="IJ225" s="48"/>
      <c r="IK225" s="48"/>
      <c r="IL225" s="48"/>
      <c r="IM225" s="48"/>
      <c r="IN225" s="48"/>
      <c r="IO225" s="48"/>
      <c r="IP225" s="48"/>
      <c r="IQ225" s="48"/>
      <c r="IR225" s="48"/>
      <c r="IS225" s="48"/>
      <c r="IT225" s="48"/>
      <c r="IU225" s="48"/>
      <c r="IV225" s="48"/>
      <c r="IW225" s="48"/>
      <c r="IX225" s="48"/>
      <c r="IY225" s="48"/>
      <c r="IZ225" s="48"/>
      <c r="JA225" s="48"/>
      <c r="JB225" s="48"/>
      <c r="JC225" s="48"/>
      <c r="JD225" s="48"/>
      <c r="JE225" s="48"/>
      <c r="JF225" s="48"/>
      <c r="JG225" s="48"/>
      <c r="JH225" s="48"/>
      <c r="JI225" s="48"/>
      <c r="JJ225" s="48"/>
      <c r="JK225" s="48"/>
      <c r="JL225" s="48"/>
      <c r="JM225" s="48"/>
      <c r="JN225" s="48"/>
      <c r="JO225" s="48"/>
      <c r="JP225" s="48"/>
      <c r="JQ225" s="48"/>
      <c r="JR225" s="48"/>
      <c r="JS225" s="48"/>
      <c r="JT225" s="48"/>
      <c r="JU225" s="48"/>
      <c r="JV225" s="48"/>
      <c r="JW225" s="48"/>
      <c r="JX225" s="48"/>
      <c r="JY225" s="48"/>
      <c r="JZ225" s="48"/>
      <c r="KA225" s="48"/>
      <c r="KB225" s="48"/>
      <c r="KC225" s="48"/>
      <c r="KD225" s="48"/>
      <c r="KE225" s="48"/>
      <c r="KF225" s="48"/>
      <c r="KG225" s="48"/>
      <c r="KH225" s="48"/>
      <c r="KI225" s="48"/>
      <c r="KJ225" s="48"/>
      <c r="KK225" s="48"/>
      <c r="KL225" s="48"/>
      <c r="KM225" s="48"/>
      <c r="KN225" s="48"/>
      <c r="KO225" s="48"/>
      <c r="KP225" s="48"/>
      <c r="KQ225" s="48"/>
      <c r="KR225" s="48"/>
      <c r="KS225" s="48"/>
      <c r="KT225" s="48"/>
      <c r="KU225" s="48"/>
      <c r="KV225" s="48"/>
      <c r="KW225" s="48"/>
      <c r="KX225" s="48"/>
      <c r="KY225" s="48"/>
      <c r="KZ225" s="48"/>
      <c r="LA225" s="48"/>
      <c r="LB225" s="48"/>
      <c r="LC225" s="48"/>
      <c r="LD225" s="48"/>
      <c r="LE225" s="48"/>
      <c r="LF225" s="48"/>
      <c r="LG225" s="48"/>
      <c r="LH225" s="48"/>
      <c r="LI225" s="48"/>
      <c r="LJ225" s="48"/>
      <c r="LK225" s="48"/>
      <c r="LL225" s="48"/>
      <c r="LM225" s="48"/>
      <c r="LN225" s="48"/>
      <c r="LO225" s="48"/>
      <c r="LP225" s="48"/>
      <c r="LQ225" s="48"/>
      <c r="LR225" s="48"/>
      <c r="LS225" s="48"/>
      <c r="LT225" s="48"/>
      <c r="LU225" s="48"/>
      <c r="LV225" s="48"/>
      <c r="LW225" s="48"/>
      <c r="LX225" s="48"/>
      <c r="LY225" s="48"/>
      <c r="LZ225" s="48"/>
      <c r="MA225" s="48"/>
      <c r="MB225" s="48"/>
      <c r="MC225" s="48"/>
      <c r="MD225" s="48"/>
      <c r="ME225" s="48"/>
      <c r="MF225" s="48"/>
      <c r="MG225" s="48"/>
      <c r="MH225" s="48"/>
      <c r="MI225" s="48"/>
      <c r="MJ225" s="48"/>
      <c r="MK225" s="48"/>
      <c r="ML225" s="48"/>
      <c r="MM225" s="48"/>
      <c r="MN225" s="48"/>
      <c r="MO225" s="48"/>
      <c r="MP225" s="48"/>
      <c r="MQ225" s="48"/>
      <c r="MR225" s="48"/>
      <c r="MS225" s="48"/>
      <c r="MT225" s="48"/>
      <c r="MU225" s="48"/>
      <c r="MV225" s="48"/>
      <c r="MW225" s="48"/>
      <c r="MX225" s="48"/>
      <c r="MY225" s="48"/>
      <c r="MZ225" s="48"/>
      <c r="NA225" s="48"/>
      <c r="NB225" s="48"/>
      <c r="NC225" s="48"/>
      <c r="ND225" s="48"/>
      <c r="NE225" s="48"/>
      <c r="NF225" s="48"/>
      <c r="NG225" s="48"/>
      <c r="NH225" s="48"/>
      <c r="NI225" s="48"/>
      <c r="NJ225" s="48"/>
      <c r="NK225" s="48"/>
      <c r="NL225" s="48"/>
      <c r="NM225" s="48"/>
      <c r="NN225" s="48"/>
      <c r="NO225" s="48"/>
      <c r="NP225" s="48"/>
      <c r="NQ225" s="48"/>
      <c r="NR225" s="48"/>
      <c r="NS225" s="48"/>
      <c r="NT225" s="48"/>
      <c r="NU225" s="48"/>
      <c r="NV225" s="48"/>
      <c r="NW225" s="48"/>
      <c r="NX225" s="48"/>
      <c r="NY225" s="48"/>
      <c r="NZ225" s="48"/>
      <c r="OA225" s="48"/>
      <c r="OB225" s="48"/>
      <c r="OC225" s="48"/>
      <c r="OD225" s="48"/>
      <c r="OE225" s="48"/>
      <c r="OF225" s="48"/>
      <c r="OG225" s="48"/>
      <c r="OH225" s="48"/>
      <c r="OI225" s="48"/>
      <c r="OJ225" s="48"/>
      <c r="OK225" s="48"/>
      <c r="OL225" s="48"/>
      <c r="OM225" s="48"/>
      <c r="ON225" s="48"/>
      <c r="OO225" s="48"/>
      <c r="OP225" s="48"/>
      <c r="OQ225" s="48"/>
      <c r="OR225" s="48"/>
      <c r="OS225" s="48"/>
      <c r="OT225" s="48"/>
      <c r="OU225" s="48"/>
      <c r="OV225" s="48"/>
      <c r="OW225" s="48"/>
      <c r="OX225" s="48"/>
      <c r="OY225" s="48"/>
      <c r="OZ225" s="48"/>
      <c r="PA225" s="48"/>
      <c r="PB225" s="48"/>
      <c r="PC225" s="48"/>
      <c r="PD225" s="48"/>
      <c r="PE225" s="48"/>
      <c r="PF225" s="48"/>
      <c r="PG225" s="48"/>
      <c r="PH225" s="48"/>
      <c r="PI225" s="48"/>
      <c r="PJ225" s="48"/>
      <c r="PK225" s="48"/>
      <c r="PL225" s="48"/>
      <c r="PM225" s="48"/>
      <c r="PN225" s="48"/>
      <c r="PO225" s="48"/>
      <c r="PP225" s="48"/>
      <c r="PQ225" s="48"/>
      <c r="PR225" s="48"/>
      <c r="PS225" s="48"/>
      <c r="PT225" s="48"/>
      <c r="PU225" s="48"/>
      <c r="PV225" s="48"/>
      <c r="PW225" s="48"/>
      <c r="PX225" s="48"/>
      <c r="PY225" s="48"/>
      <c r="PZ225" s="48"/>
      <c r="QA225" s="48"/>
      <c r="QB225" s="48"/>
      <c r="QC225" s="48"/>
      <c r="QD225" s="48"/>
      <c r="QE225" s="48"/>
      <c r="QF225" s="48"/>
      <c r="QG225" s="48"/>
      <c r="QH225" s="48"/>
      <c r="QI225" s="48"/>
      <c r="QJ225" s="48"/>
      <c r="QK225" s="48"/>
      <c r="QL225" s="48"/>
      <c r="QM225" s="48"/>
      <c r="QN225" s="48"/>
      <c r="QO225" s="48"/>
      <c r="QP225" s="48"/>
      <c r="QQ225" s="48"/>
      <c r="QR225" s="48"/>
      <c r="QS225" s="48"/>
      <c r="QT225" s="48"/>
      <c r="QU225" s="48"/>
      <c r="QV225" s="48"/>
      <c r="QW225" s="48"/>
      <c r="QX225" s="48"/>
      <c r="QY225" s="48"/>
      <c r="QZ225" s="48"/>
      <c r="RA225" s="48"/>
      <c r="RB225" s="48"/>
      <c r="RC225" s="48"/>
      <c r="RD225" s="48"/>
      <c r="RE225" s="48"/>
      <c r="RF225" s="48"/>
      <c r="RG225" s="48"/>
      <c r="RH225" s="48"/>
      <c r="RI225" s="48"/>
      <c r="RJ225" s="48"/>
      <c r="RK225" s="48"/>
      <c r="RL225" s="48"/>
      <c r="RM225" s="48"/>
      <c r="RN225" s="48"/>
      <c r="RO225" s="48"/>
      <c r="RP225" s="48"/>
      <c r="RQ225" s="48"/>
      <c r="RR225" s="48"/>
      <c r="RS225" s="48"/>
      <c r="RT225" s="48"/>
      <c r="RU225" s="48"/>
      <c r="RV225" s="48"/>
      <c r="RW225" s="48"/>
      <c r="RX225" s="48"/>
      <c r="RY225" s="48"/>
      <c r="RZ225" s="48"/>
      <c r="SA225" s="48"/>
      <c r="SB225" s="48"/>
      <c r="SC225" s="48"/>
      <c r="SD225" s="48"/>
      <c r="SE225" s="48"/>
      <c r="SF225" s="48"/>
      <c r="SG225" s="48"/>
      <c r="SH225" s="48"/>
      <c r="SI225" s="48"/>
      <c r="SJ225" s="48"/>
      <c r="SK225" s="48"/>
      <c r="SL225" s="48"/>
      <c r="SM225" s="48"/>
      <c r="SN225" s="48"/>
      <c r="SO225" s="48"/>
      <c r="SP225" s="48"/>
      <c r="SQ225" s="48"/>
      <c r="SR225" s="48"/>
      <c r="SS225" s="48"/>
      <c r="ST225" s="48"/>
      <c r="SU225" s="48"/>
      <c r="SV225" s="48"/>
      <c r="SW225" s="48"/>
      <c r="SX225" s="48"/>
      <c r="SY225" s="48"/>
      <c r="SZ225" s="48"/>
      <c r="TA225" s="48"/>
      <c r="TB225" s="48"/>
      <c r="TC225" s="48"/>
      <c r="TD225" s="48"/>
      <c r="TE225" s="48"/>
      <c r="TF225" s="48"/>
      <c r="TG225" s="48"/>
      <c r="TH225" s="48"/>
      <c r="TI225" s="48"/>
      <c r="TJ225" s="48"/>
      <c r="TK225" s="48"/>
      <c r="TL225" s="48"/>
      <c r="TM225" s="48"/>
      <c r="TN225" s="48"/>
      <c r="TO225" s="48"/>
      <c r="TP225" s="48"/>
      <c r="TQ225" s="48"/>
      <c r="TR225" s="48"/>
      <c r="TS225" s="48"/>
      <c r="TT225" s="48"/>
      <c r="TU225" s="48"/>
      <c r="TV225" s="48"/>
      <c r="TW225" s="48"/>
      <c r="TX225" s="48"/>
      <c r="TY225" s="48"/>
      <c r="TZ225" s="48"/>
      <c r="UA225" s="48"/>
      <c r="UB225" s="48"/>
      <c r="UC225" s="48"/>
      <c r="UD225" s="48"/>
      <c r="UE225" s="48"/>
      <c r="UF225" s="48"/>
      <c r="UG225" s="48"/>
      <c r="UH225" s="48"/>
      <c r="UI225" s="48"/>
      <c r="UJ225" s="48"/>
      <c r="UK225" s="48"/>
      <c r="UL225" s="48"/>
      <c r="UM225" s="48"/>
      <c r="UN225" s="48"/>
      <c r="UO225" s="48"/>
      <c r="UP225" s="48"/>
      <c r="UQ225" s="48"/>
      <c r="UR225" s="48"/>
      <c r="US225" s="48"/>
      <c r="UT225" s="48"/>
      <c r="UU225" s="48"/>
      <c r="UV225" s="48"/>
      <c r="UW225" s="48"/>
      <c r="UX225" s="48"/>
      <c r="UY225" s="48"/>
      <c r="UZ225" s="48"/>
      <c r="VA225" s="48"/>
      <c r="VB225" s="48"/>
      <c r="VC225" s="48"/>
      <c r="VD225" s="48"/>
      <c r="VE225" s="48"/>
      <c r="VF225" s="48"/>
      <c r="VG225" s="48"/>
      <c r="VH225" s="48"/>
      <c r="VI225" s="48"/>
      <c r="VJ225" s="48"/>
      <c r="VK225" s="48"/>
      <c r="VL225" s="48"/>
      <c r="VM225" s="48"/>
      <c r="VN225" s="48"/>
      <c r="VO225" s="48"/>
      <c r="VP225" s="48"/>
      <c r="VQ225" s="48"/>
      <c r="VR225" s="48"/>
      <c r="VS225" s="48"/>
      <c r="VT225" s="48"/>
      <c r="VU225" s="48"/>
      <c r="VV225" s="48"/>
      <c r="VW225" s="48"/>
      <c r="VX225" s="48"/>
      <c r="VY225" s="48"/>
      <c r="VZ225" s="48"/>
      <c r="WA225" s="48"/>
      <c r="WB225" s="48"/>
      <c r="WC225" s="48"/>
      <c r="WD225" s="48"/>
      <c r="WE225" s="48"/>
      <c r="WF225" s="48"/>
      <c r="WG225" s="48"/>
      <c r="WH225" s="48"/>
      <c r="WI225" s="48"/>
      <c r="WJ225" s="48"/>
      <c r="WK225" s="48"/>
      <c r="WL225" s="48"/>
      <c r="WM225" s="48"/>
      <c r="WN225" s="48"/>
      <c r="WO225" s="48"/>
      <c r="WP225" s="48"/>
      <c r="WQ225" s="48"/>
      <c r="WR225" s="48"/>
      <c r="WS225" s="48"/>
      <c r="WT225" s="48"/>
      <c r="WU225" s="48"/>
      <c r="WV225" s="48"/>
      <c r="WW225" s="48"/>
      <c r="WX225" s="48"/>
      <c r="WY225" s="48"/>
      <c r="WZ225" s="48"/>
      <c r="XA225" s="48"/>
      <c r="XB225" s="48"/>
      <c r="XC225" s="48"/>
      <c r="XD225" s="48"/>
      <c r="XE225" s="48"/>
      <c r="XF225" s="48"/>
      <c r="XG225" s="48"/>
      <c r="XH225" s="48"/>
      <c r="XI225" s="48"/>
      <c r="XJ225" s="48"/>
      <c r="XK225" s="48"/>
      <c r="XL225" s="48"/>
      <c r="XM225" s="48"/>
      <c r="XN225" s="48"/>
      <c r="XO225" s="48"/>
      <c r="XP225" s="48"/>
      <c r="XQ225" s="48"/>
      <c r="XR225" s="48"/>
      <c r="XS225" s="48"/>
      <c r="XT225" s="48"/>
      <c r="XU225" s="48"/>
      <c r="XV225" s="48"/>
      <c r="XW225" s="48"/>
      <c r="XX225" s="48"/>
      <c r="XY225" s="48"/>
      <c r="XZ225" s="48"/>
      <c r="YA225" s="48"/>
      <c r="YB225" s="48"/>
      <c r="YC225" s="48"/>
      <c r="YD225" s="48"/>
      <c r="YE225" s="48"/>
      <c r="YF225" s="48"/>
      <c r="YG225" s="48"/>
      <c r="YH225" s="48"/>
      <c r="YI225" s="48"/>
      <c r="YJ225" s="48"/>
      <c r="YK225" s="48"/>
      <c r="YL225" s="48"/>
      <c r="YM225" s="48"/>
      <c r="YN225" s="48"/>
      <c r="YO225" s="48"/>
      <c r="YP225" s="48"/>
      <c r="YQ225" s="48"/>
      <c r="YR225" s="48"/>
      <c r="YS225" s="48"/>
      <c r="YT225" s="48"/>
      <c r="YU225" s="48"/>
      <c r="YV225" s="48"/>
      <c r="YW225" s="48"/>
      <c r="YX225" s="48"/>
      <c r="YY225" s="48"/>
      <c r="YZ225" s="48"/>
      <c r="ZA225" s="48"/>
      <c r="ZB225" s="48"/>
      <c r="ZC225" s="48"/>
      <c r="ZD225" s="48"/>
      <c r="ZE225" s="48"/>
      <c r="ZF225" s="48"/>
      <c r="ZG225" s="48"/>
      <c r="ZH225" s="48"/>
      <c r="ZI225" s="48"/>
      <c r="ZJ225" s="48"/>
      <c r="ZK225" s="48"/>
      <c r="ZL225" s="48"/>
      <c r="ZM225" s="48"/>
      <c r="ZN225" s="48"/>
      <c r="ZO225" s="48"/>
      <c r="ZP225" s="48"/>
      <c r="ZQ225" s="48"/>
      <c r="ZR225" s="48"/>
      <c r="ZS225" s="48"/>
      <c r="ZT225" s="48"/>
      <c r="ZU225" s="48"/>
      <c r="ZV225" s="48"/>
      <c r="ZW225" s="48"/>
      <c r="ZX225" s="48"/>
      <c r="ZY225" s="48"/>
      <c r="ZZ225" s="48"/>
      <c r="AAA225" s="48"/>
      <c r="AAB225" s="48"/>
      <c r="AAC225" s="48"/>
      <c r="AAD225" s="48"/>
      <c r="AAE225" s="48"/>
      <c r="AAF225" s="48"/>
      <c r="AAG225" s="48"/>
      <c r="AAH225" s="48"/>
      <c r="AAI225" s="48"/>
      <c r="AAJ225" s="48"/>
      <c r="AAK225" s="48"/>
      <c r="AAL225" s="48"/>
      <c r="AAM225" s="48"/>
      <c r="AAN225" s="48"/>
      <c r="AAO225" s="48"/>
      <c r="AAP225" s="48"/>
      <c r="AAQ225" s="48"/>
      <c r="AAR225" s="48"/>
      <c r="AAS225" s="48"/>
      <c r="AAT225" s="48"/>
      <c r="AAU225" s="48"/>
      <c r="AAV225" s="48"/>
      <c r="AAW225" s="48"/>
      <c r="AAX225" s="48"/>
      <c r="AAY225" s="48"/>
      <c r="AAZ225" s="48"/>
      <c r="ABA225" s="48"/>
      <c r="ABB225" s="48"/>
      <c r="ABC225" s="48"/>
      <c r="ABD225" s="48"/>
      <c r="ABE225" s="48"/>
      <c r="ABF225" s="48"/>
      <c r="ABG225" s="48"/>
      <c r="ABH225" s="48"/>
      <c r="ABI225" s="48"/>
      <c r="ABJ225" s="48"/>
      <c r="ABK225" s="48"/>
      <c r="ABL225" s="48"/>
      <c r="ABM225" s="48"/>
      <c r="ABN225" s="48"/>
      <c r="ABO225" s="48"/>
      <c r="ABP225" s="48"/>
      <c r="ABQ225" s="48"/>
      <c r="ABR225" s="48"/>
      <c r="ABS225" s="48"/>
      <c r="ABT225" s="48"/>
      <c r="ABU225" s="48"/>
      <c r="ABV225" s="48"/>
      <c r="ABW225" s="48"/>
      <c r="ABX225" s="48"/>
      <c r="ABY225" s="48"/>
      <c r="ABZ225" s="48"/>
      <c r="ACA225" s="48"/>
      <c r="ACB225" s="48"/>
      <c r="ACC225" s="48"/>
      <c r="ACD225" s="48"/>
      <c r="ACE225" s="48"/>
      <c r="ACF225" s="48"/>
      <c r="ACG225" s="48"/>
      <c r="ACH225" s="48"/>
      <c r="ACI225" s="48"/>
      <c r="ACJ225" s="48"/>
      <c r="ACK225" s="48"/>
      <c r="ACL225" s="48"/>
      <c r="ACM225" s="48"/>
      <c r="ACN225" s="48"/>
      <c r="ACO225" s="48"/>
      <c r="ACP225" s="48"/>
      <c r="ACQ225" s="48"/>
      <c r="ACR225" s="48"/>
      <c r="ACS225" s="48"/>
      <c r="ACT225" s="48"/>
      <c r="ACU225" s="48"/>
      <c r="ACV225" s="48"/>
      <c r="ACW225" s="48"/>
      <c r="ACX225" s="48"/>
      <c r="ACY225" s="48"/>
      <c r="ACZ225" s="48"/>
      <c r="ADA225" s="48"/>
      <c r="ADB225" s="48"/>
      <c r="ADC225" s="48"/>
      <c r="ADD225" s="48"/>
      <c r="ADE225" s="48"/>
      <c r="ADF225" s="48"/>
      <c r="ADG225" s="48"/>
      <c r="ADH225" s="48"/>
      <c r="ADI225" s="48"/>
      <c r="ADJ225" s="48"/>
      <c r="ADK225" s="48"/>
      <c r="ADL225" s="48"/>
      <c r="ADM225" s="48"/>
      <c r="ADN225" s="48"/>
      <c r="ADO225" s="48"/>
      <c r="ADP225" s="48"/>
      <c r="ADQ225" s="48"/>
      <c r="ADR225" s="48"/>
      <c r="ADS225" s="48"/>
      <c r="ADT225" s="48"/>
      <c r="ADU225" s="48"/>
      <c r="ADV225" s="48"/>
      <c r="ADW225" s="48"/>
      <c r="ADX225" s="48"/>
      <c r="ADY225" s="48"/>
      <c r="ADZ225" s="48"/>
      <c r="AEA225" s="48"/>
      <c r="AEB225" s="48"/>
      <c r="AEC225" s="48"/>
      <c r="AED225" s="48"/>
      <c r="AEE225" s="48"/>
      <c r="AEF225" s="48"/>
      <c r="AEG225" s="48"/>
      <c r="AEH225" s="48"/>
      <c r="AEI225" s="48"/>
      <c r="AEJ225" s="48"/>
      <c r="AEK225" s="48"/>
      <c r="AEL225" s="48"/>
      <c r="AEM225" s="48"/>
      <c r="AEN225" s="48"/>
      <c r="AEO225" s="48"/>
      <c r="AEP225" s="48"/>
      <c r="AEQ225" s="48"/>
      <c r="AER225" s="48"/>
      <c r="AES225" s="48"/>
      <c r="AET225" s="48"/>
      <c r="AEU225" s="48"/>
      <c r="AEV225" s="48"/>
      <c r="AEW225" s="48"/>
      <c r="AEX225" s="48"/>
      <c r="AEY225" s="48"/>
      <c r="AEZ225" s="48"/>
      <c r="AFA225" s="48"/>
      <c r="AFB225" s="48"/>
      <c r="AFC225" s="48"/>
      <c r="AFD225" s="48"/>
      <c r="AFE225" s="48"/>
      <c r="AFF225" s="48"/>
      <c r="AFG225" s="48"/>
      <c r="AFH225" s="48"/>
      <c r="AFI225" s="48"/>
      <c r="AFJ225" s="48"/>
      <c r="AFK225" s="48"/>
      <c r="AFL225" s="48"/>
      <c r="AFM225" s="48"/>
      <c r="AFN225" s="48"/>
      <c r="AFO225" s="48"/>
      <c r="AFP225" s="48"/>
      <c r="AFQ225" s="48"/>
      <c r="AFR225" s="48"/>
      <c r="AFS225" s="48"/>
      <c r="AFT225" s="48"/>
      <c r="AFU225" s="48"/>
      <c r="AFV225" s="48"/>
      <c r="AFW225" s="48"/>
      <c r="AFX225" s="48"/>
      <c r="AFY225" s="48"/>
      <c r="AFZ225" s="48"/>
      <c r="AGA225" s="48"/>
      <c r="AGB225" s="48"/>
      <c r="AGC225" s="48"/>
      <c r="AGD225" s="48"/>
      <c r="AGE225" s="48"/>
      <c r="AGF225" s="48"/>
      <c r="AGG225" s="48"/>
      <c r="AGH225" s="48"/>
      <c r="AGI225" s="48"/>
      <c r="AGJ225" s="48"/>
      <c r="AGK225" s="48"/>
      <c r="AGL225" s="48"/>
      <c r="AGM225" s="48"/>
      <c r="AGN225" s="48"/>
      <c r="AGO225" s="48"/>
      <c r="AGP225" s="48"/>
      <c r="AGQ225" s="48"/>
      <c r="AGR225" s="48"/>
      <c r="AGS225" s="48"/>
      <c r="AGT225" s="48"/>
      <c r="AGU225" s="48"/>
      <c r="AGV225" s="48"/>
      <c r="AGW225" s="48"/>
      <c r="AGX225" s="48"/>
      <c r="AGY225" s="48"/>
      <c r="AGZ225" s="48"/>
      <c r="AHA225" s="48"/>
      <c r="AHB225" s="48"/>
      <c r="AHC225" s="48"/>
      <c r="AHD225" s="48"/>
      <c r="AHE225" s="48"/>
      <c r="AHF225" s="48"/>
      <c r="AHG225" s="48"/>
      <c r="AHH225" s="48"/>
      <c r="AHI225" s="48"/>
      <c r="AHJ225" s="48"/>
      <c r="AHK225" s="48"/>
      <c r="AHL225" s="48"/>
      <c r="AHM225" s="48"/>
      <c r="AHN225" s="48"/>
      <c r="AHO225" s="48"/>
      <c r="AHP225" s="48"/>
      <c r="AHQ225" s="48"/>
      <c r="AHR225" s="48"/>
      <c r="AHS225" s="48"/>
      <c r="AHT225" s="48"/>
      <c r="AHU225" s="48"/>
      <c r="AHV225" s="48"/>
      <c r="AHW225" s="48"/>
      <c r="AHX225" s="48"/>
      <c r="AHY225" s="48"/>
      <c r="AHZ225" s="48"/>
      <c r="AIA225" s="48"/>
      <c r="AIB225" s="48"/>
      <c r="AIC225" s="48"/>
      <c r="AID225" s="48"/>
      <c r="AIE225" s="48"/>
      <c r="AIF225" s="48"/>
      <c r="AIG225" s="48"/>
      <c r="AIH225" s="48"/>
      <c r="AII225" s="48"/>
      <c r="AIJ225" s="48"/>
      <c r="AIK225" s="48"/>
      <c r="AIL225" s="48"/>
      <c r="AIM225" s="48"/>
      <c r="AIN225" s="48"/>
      <c r="AIO225" s="48"/>
      <c r="AIP225" s="48"/>
      <c r="AIQ225" s="48"/>
      <c r="AIR225" s="48"/>
      <c r="AIS225" s="48"/>
      <c r="AIT225" s="48"/>
      <c r="AIU225" s="48"/>
      <c r="AIV225" s="48"/>
      <c r="AIW225" s="48"/>
      <c r="AIX225" s="48"/>
      <c r="AIY225" s="48"/>
      <c r="AIZ225" s="48"/>
      <c r="AJA225" s="48"/>
      <c r="AJB225" s="48"/>
      <c r="AJC225" s="48"/>
      <c r="AJD225" s="48"/>
      <c r="AJE225" s="48"/>
      <c r="AJF225" s="48"/>
      <c r="AJG225" s="48"/>
      <c r="AJH225" s="48"/>
      <c r="AJI225" s="48"/>
      <c r="AJJ225" s="48"/>
      <c r="AJK225" s="48"/>
      <c r="AJL225" s="48"/>
      <c r="AJM225" s="48"/>
      <c r="AJN225" s="48"/>
      <c r="AJO225" s="48"/>
      <c r="AJP225" s="48"/>
      <c r="AJQ225" s="48"/>
      <c r="AJR225" s="48"/>
      <c r="AJS225" s="48"/>
      <c r="AJT225" s="48"/>
      <c r="AJU225" s="48"/>
      <c r="AJV225" s="48"/>
      <c r="AJW225" s="48"/>
      <c r="AJX225" s="48"/>
      <c r="AJY225" s="48"/>
      <c r="AJZ225" s="48"/>
      <c r="AKA225" s="48"/>
      <c r="AKB225" s="48"/>
      <c r="AKC225" s="48"/>
      <c r="AKD225" s="48"/>
      <c r="AKE225" s="48"/>
      <c r="AKF225" s="48"/>
      <c r="AKG225" s="48"/>
      <c r="AKH225" s="48"/>
      <c r="AKI225" s="48"/>
      <c r="AKJ225" s="48"/>
      <c r="AKK225" s="48"/>
      <c r="AKL225" s="48"/>
      <c r="AKM225" s="48"/>
      <c r="AKN225" s="48"/>
      <c r="AKO225" s="48"/>
      <c r="AKP225" s="48"/>
      <c r="AKQ225" s="48"/>
      <c r="AKR225" s="48"/>
      <c r="AKS225" s="48"/>
      <c r="AKT225" s="48"/>
      <c r="AKU225" s="48"/>
      <c r="AKV225" s="48"/>
      <c r="AKW225" s="48"/>
      <c r="AKX225" s="48"/>
      <c r="AKY225" s="48"/>
      <c r="AKZ225" s="48"/>
      <c r="ALA225" s="48"/>
      <c r="ALB225" s="48"/>
      <c r="ALC225" s="48"/>
      <c r="ALD225" s="48"/>
      <c r="ALE225" s="48"/>
      <c r="ALF225" s="48"/>
      <c r="ALG225" s="48"/>
      <c r="ALH225" s="48"/>
      <c r="ALI225" s="48"/>
      <c r="ALJ225" s="48"/>
      <c r="ALK225" s="48"/>
      <c r="ALL225" s="48"/>
      <c r="ALM225" s="48"/>
      <c r="ALN225" s="48"/>
      <c r="ALO225" s="48"/>
      <c r="ALP225" s="48"/>
      <c r="ALQ225" s="48"/>
      <c r="ALR225" s="48"/>
      <c r="ALS225" s="48"/>
      <c r="ALT225" s="48"/>
      <c r="ALU225" s="48"/>
      <c r="ALV225" s="48"/>
      <c r="ALW225" s="48"/>
      <c r="ALX225" s="48"/>
      <c r="ALY225" s="48"/>
      <c r="ALZ225" s="48"/>
      <c r="AMA225" s="48"/>
      <c r="AMB225" s="48"/>
      <c r="AMC225" s="48"/>
      <c r="AMD225" s="48"/>
      <c r="AME225" s="48"/>
      <c r="AMF225" s="48"/>
      <c r="AMG225" s="48"/>
      <c r="AMH225" s="48"/>
      <c r="AMI225" s="48"/>
      <c r="AMJ225" s="48"/>
      <c r="AMK225" s="48"/>
    </row>
    <row r="226" spans="1:1025" s="80" customFormat="1" x14ac:dyDescent="0.25">
      <c r="A226" s="84" t="s">
        <v>523</v>
      </c>
      <c r="B226" s="54" t="s">
        <v>138</v>
      </c>
      <c r="C226" s="55">
        <v>15.7</v>
      </c>
      <c r="D226" s="55">
        <v>15.7</v>
      </c>
      <c r="E226" s="55">
        <v>19.8</v>
      </c>
      <c r="F226" s="55">
        <v>289</v>
      </c>
      <c r="G226" s="55">
        <v>24.5</v>
      </c>
      <c r="H226" s="55">
        <v>2.8</v>
      </c>
      <c r="I226" s="55">
        <v>0</v>
      </c>
      <c r="J226" s="55">
        <v>10.7</v>
      </c>
      <c r="K226" s="83" t="s">
        <v>284</v>
      </c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  <c r="BR226" s="48"/>
      <c r="BS226" s="48"/>
      <c r="BT226" s="48"/>
      <c r="BU226" s="48"/>
      <c r="BV226" s="48"/>
      <c r="BW226" s="48"/>
      <c r="BX226" s="48"/>
      <c r="BY226" s="48"/>
      <c r="BZ226" s="48"/>
      <c r="CA226" s="48"/>
      <c r="CB226" s="48"/>
      <c r="CC226" s="48"/>
      <c r="CD226" s="48"/>
      <c r="CE226" s="48"/>
      <c r="CF226" s="48"/>
      <c r="CG226" s="48"/>
      <c r="CH226" s="48"/>
      <c r="CI226" s="48"/>
      <c r="CJ226" s="48"/>
      <c r="CK226" s="48"/>
      <c r="CL226" s="48"/>
      <c r="CM226" s="48"/>
      <c r="CN226" s="48"/>
      <c r="CO226" s="48"/>
      <c r="CP226" s="48"/>
      <c r="CQ226" s="48"/>
      <c r="CR226" s="48"/>
      <c r="CS226" s="48"/>
      <c r="CT226" s="48"/>
      <c r="CU226" s="48"/>
      <c r="CV226" s="48"/>
      <c r="CW226" s="48"/>
      <c r="CX226" s="48"/>
      <c r="CY226" s="48"/>
      <c r="CZ226" s="48"/>
      <c r="DA226" s="48"/>
      <c r="DB226" s="48"/>
      <c r="DC226" s="48"/>
      <c r="DD226" s="48"/>
      <c r="DE226" s="48"/>
      <c r="DF226" s="48"/>
      <c r="DG226" s="48"/>
      <c r="DH226" s="48"/>
      <c r="DI226" s="48"/>
      <c r="DJ226" s="48"/>
      <c r="DK226" s="48"/>
      <c r="DL226" s="48"/>
      <c r="DM226" s="48"/>
      <c r="DN226" s="48"/>
      <c r="DO226" s="48"/>
      <c r="DP226" s="48"/>
      <c r="DQ226" s="48"/>
      <c r="DR226" s="48"/>
      <c r="DS226" s="48"/>
      <c r="DT226" s="48"/>
      <c r="DU226" s="48"/>
      <c r="DV226" s="48"/>
      <c r="DW226" s="48"/>
      <c r="DX226" s="48"/>
      <c r="DY226" s="48"/>
      <c r="DZ226" s="48"/>
      <c r="EA226" s="48"/>
      <c r="EB226" s="48"/>
      <c r="EC226" s="48"/>
      <c r="ED226" s="48"/>
      <c r="EE226" s="48"/>
      <c r="EF226" s="48"/>
      <c r="EG226" s="48"/>
      <c r="EH226" s="48"/>
      <c r="EI226" s="48"/>
      <c r="EJ226" s="48"/>
      <c r="EK226" s="48"/>
      <c r="EL226" s="48"/>
      <c r="EM226" s="48"/>
      <c r="EN226" s="48"/>
      <c r="EO226" s="48"/>
      <c r="EP226" s="48"/>
      <c r="EQ226" s="48"/>
      <c r="ER226" s="48"/>
      <c r="ES226" s="48"/>
      <c r="ET226" s="48"/>
      <c r="EU226" s="48"/>
      <c r="EV226" s="48"/>
      <c r="EW226" s="48"/>
      <c r="EX226" s="48"/>
      <c r="EY226" s="48"/>
      <c r="EZ226" s="48"/>
      <c r="FA226" s="48"/>
      <c r="FB226" s="48"/>
      <c r="FC226" s="48"/>
      <c r="FD226" s="48"/>
      <c r="FE226" s="48"/>
      <c r="FF226" s="48"/>
      <c r="FG226" s="48"/>
      <c r="FH226" s="48"/>
      <c r="FI226" s="48"/>
      <c r="FJ226" s="48"/>
      <c r="FK226" s="48"/>
      <c r="FL226" s="48"/>
      <c r="FM226" s="48"/>
      <c r="FN226" s="48"/>
      <c r="FO226" s="48"/>
      <c r="FP226" s="48"/>
      <c r="FQ226" s="48"/>
      <c r="FR226" s="48"/>
      <c r="FS226" s="48"/>
      <c r="FT226" s="48"/>
      <c r="FU226" s="48"/>
      <c r="FV226" s="48"/>
      <c r="FW226" s="48"/>
      <c r="FX226" s="48"/>
      <c r="FY226" s="48"/>
      <c r="FZ226" s="48"/>
      <c r="GA226" s="48"/>
      <c r="GB226" s="48"/>
      <c r="GC226" s="48"/>
      <c r="GD226" s="48"/>
      <c r="GE226" s="48"/>
      <c r="GF226" s="48"/>
      <c r="GG226" s="48"/>
      <c r="GH226" s="48"/>
      <c r="GI226" s="48"/>
      <c r="GJ226" s="48"/>
      <c r="GK226" s="48"/>
      <c r="GL226" s="48"/>
      <c r="GM226" s="48"/>
      <c r="GN226" s="48"/>
      <c r="GO226" s="48"/>
      <c r="GP226" s="48"/>
      <c r="GQ226" s="48"/>
      <c r="GR226" s="48"/>
      <c r="GS226" s="48"/>
      <c r="GT226" s="48"/>
      <c r="GU226" s="48"/>
      <c r="GV226" s="48"/>
      <c r="GW226" s="48"/>
      <c r="GX226" s="48"/>
      <c r="GY226" s="48"/>
      <c r="GZ226" s="48"/>
      <c r="HA226" s="48"/>
      <c r="HB226" s="48"/>
      <c r="HC226" s="48"/>
      <c r="HD226" s="48"/>
      <c r="HE226" s="48"/>
      <c r="HF226" s="48"/>
      <c r="HG226" s="48"/>
      <c r="HH226" s="48"/>
      <c r="HI226" s="48"/>
      <c r="HJ226" s="48"/>
      <c r="HK226" s="48"/>
      <c r="HL226" s="48"/>
      <c r="HM226" s="48"/>
      <c r="HN226" s="48"/>
      <c r="HO226" s="48"/>
      <c r="HP226" s="48"/>
      <c r="HQ226" s="48"/>
      <c r="HR226" s="48"/>
      <c r="HS226" s="48"/>
      <c r="HT226" s="48"/>
      <c r="HU226" s="48"/>
      <c r="HV226" s="48"/>
      <c r="HW226" s="48"/>
      <c r="HX226" s="48"/>
      <c r="HY226" s="48"/>
      <c r="HZ226" s="48"/>
      <c r="IA226" s="48"/>
      <c r="IB226" s="48"/>
      <c r="IC226" s="48"/>
      <c r="ID226" s="48"/>
      <c r="IE226" s="48"/>
      <c r="IF226" s="48"/>
      <c r="IG226" s="48"/>
      <c r="IH226" s="48"/>
      <c r="II226" s="48"/>
      <c r="IJ226" s="48"/>
      <c r="IK226" s="48"/>
      <c r="IL226" s="48"/>
      <c r="IM226" s="48"/>
      <c r="IN226" s="48"/>
      <c r="IO226" s="48"/>
      <c r="IP226" s="48"/>
      <c r="IQ226" s="48"/>
      <c r="IR226" s="48"/>
      <c r="IS226" s="48"/>
      <c r="IT226" s="48"/>
      <c r="IU226" s="48"/>
      <c r="IV226" s="48"/>
      <c r="IW226" s="48"/>
      <c r="IX226" s="48"/>
      <c r="IY226" s="48"/>
      <c r="IZ226" s="48"/>
      <c r="JA226" s="48"/>
      <c r="JB226" s="48"/>
      <c r="JC226" s="48"/>
      <c r="JD226" s="48"/>
      <c r="JE226" s="48"/>
      <c r="JF226" s="48"/>
      <c r="JG226" s="48"/>
      <c r="JH226" s="48"/>
      <c r="JI226" s="48"/>
      <c r="JJ226" s="48"/>
      <c r="JK226" s="48"/>
      <c r="JL226" s="48"/>
      <c r="JM226" s="48"/>
      <c r="JN226" s="48"/>
      <c r="JO226" s="48"/>
      <c r="JP226" s="48"/>
      <c r="JQ226" s="48"/>
      <c r="JR226" s="48"/>
      <c r="JS226" s="48"/>
      <c r="JT226" s="48"/>
      <c r="JU226" s="48"/>
      <c r="JV226" s="48"/>
      <c r="JW226" s="48"/>
      <c r="JX226" s="48"/>
      <c r="JY226" s="48"/>
      <c r="JZ226" s="48"/>
      <c r="KA226" s="48"/>
      <c r="KB226" s="48"/>
      <c r="KC226" s="48"/>
      <c r="KD226" s="48"/>
      <c r="KE226" s="48"/>
      <c r="KF226" s="48"/>
      <c r="KG226" s="48"/>
      <c r="KH226" s="48"/>
      <c r="KI226" s="48"/>
      <c r="KJ226" s="48"/>
      <c r="KK226" s="48"/>
      <c r="KL226" s="48"/>
      <c r="KM226" s="48"/>
      <c r="KN226" s="48"/>
      <c r="KO226" s="48"/>
      <c r="KP226" s="48"/>
      <c r="KQ226" s="48"/>
      <c r="KR226" s="48"/>
      <c r="KS226" s="48"/>
      <c r="KT226" s="48"/>
      <c r="KU226" s="48"/>
      <c r="KV226" s="48"/>
      <c r="KW226" s="48"/>
      <c r="KX226" s="48"/>
      <c r="KY226" s="48"/>
      <c r="KZ226" s="48"/>
      <c r="LA226" s="48"/>
      <c r="LB226" s="48"/>
      <c r="LC226" s="48"/>
      <c r="LD226" s="48"/>
      <c r="LE226" s="48"/>
      <c r="LF226" s="48"/>
      <c r="LG226" s="48"/>
      <c r="LH226" s="48"/>
      <c r="LI226" s="48"/>
      <c r="LJ226" s="48"/>
      <c r="LK226" s="48"/>
      <c r="LL226" s="48"/>
      <c r="LM226" s="48"/>
      <c r="LN226" s="48"/>
      <c r="LO226" s="48"/>
      <c r="LP226" s="48"/>
      <c r="LQ226" s="48"/>
      <c r="LR226" s="48"/>
      <c r="LS226" s="48"/>
      <c r="LT226" s="48"/>
      <c r="LU226" s="48"/>
      <c r="LV226" s="48"/>
      <c r="LW226" s="48"/>
      <c r="LX226" s="48"/>
      <c r="LY226" s="48"/>
      <c r="LZ226" s="48"/>
      <c r="MA226" s="48"/>
      <c r="MB226" s="48"/>
      <c r="MC226" s="48"/>
      <c r="MD226" s="48"/>
      <c r="ME226" s="48"/>
      <c r="MF226" s="48"/>
      <c r="MG226" s="48"/>
      <c r="MH226" s="48"/>
      <c r="MI226" s="48"/>
      <c r="MJ226" s="48"/>
      <c r="MK226" s="48"/>
      <c r="ML226" s="48"/>
      <c r="MM226" s="48"/>
      <c r="MN226" s="48"/>
      <c r="MO226" s="48"/>
      <c r="MP226" s="48"/>
      <c r="MQ226" s="48"/>
      <c r="MR226" s="48"/>
      <c r="MS226" s="48"/>
      <c r="MT226" s="48"/>
      <c r="MU226" s="48"/>
      <c r="MV226" s="48"/>
      <c r="MW226" s="48"/>
      <c r="MX226" s="48"/>
      <c r="MY226" s="48"/>
      <c r="MZ226" s="48"/>
      <c r="NA226" s="48"/>
      <c r="NB226" s="48"/>
      <c r="NC226" s="48"/>
      <c r="ND226" s="48"/>
      <c r="NE226" s="48"/>
      <c r="NF226" s="48"/>
      <c r="NG226" s="48"/>
      <c r="NH226" s="48"/>
      <c r="NI226" s="48"/>
      <c r="NJ226" s="48"/>
      <c r="NK226" s="48"/>
      <c r="NL226" s="48"/>
      <c r="NM226" s="48"/>
      <c r="NN226" s="48"/>
      <c r="NO226" s="48"/>
      <c r="NP226" s="48"/>
      <c r="NQ226" s="48"/>
      <c r="NR226" s="48"/>
      <c r="NS226" s="48"/>
      <c r="NT226" s="48"/>
      <c r="NU226" s="48"/>
      <c r="NV226" s="48"/>
      <c r="NW226" s="48"/>
      <c r="NX226" s="48"/>
      <c r="NY226" s="48"/>
      <c r="NZ226" s="48"/>
      <c r="OA226" s="48"/>
      <c r="OB226" s="48"/>
      <c r="OC226" s="48"/>
      <c r="OD226" s="48"/>
      <c r="OE226" s="48"/>
      <c r="OF226" s="48"/>
      <c r="OG226" s="48"/>
      <c r="OH226" s="48"/>
      <c r="OI226" s="48"/>
      <c r="OJ226" s="48"/>
      <c r="OK226" s="48"/>
      <c r="OL226" s="48"/>
      <c r="OM226" s="48"/>
      <c r="ON226" s="48"/>
      <c r="OO226" s="48"/>
      <c r="OP226" s="48"/>
      <c r="OQ226" s="48"/>
      <c r="OR226" s="48"/>
      <c r="OS226" s="48"/>
      <c r="OT226" s="48"/>
      <c r="OU226" s="48"/>
      <c r="OV226" s="48"/>
      <c r="OW226" s="48"/>
      <c r="OX226" s="48"/>
      <c r="OY226" s="48"/>
      <c r="OZ226" s="48"/>
      <c r="PA226" s="48"/>
      <c r="PB226" s="48"/>
      <c r="PC226" s="48"/>
      <c r="PD226" s="48"/>
      <c r="PE226" s="48"/>
      <c r="PF226" s="48"/>
      <c r="PG226" s="48"/>
      <c r="PH226" s="48"/>
      <c r="PI226" s="48"/>
      <c r="PJ226" s="48"/>
      <c r="PK226" s="48"/>
      <c r="PL226" s="48"/>
      <c r="PM226" s="48"/>
      <c r="PN226" s="48"/>
      <c r="PO226" s="48"/>
      <c r="PP226" s="48"/>
      <c r="PQ226" s="48"/>
      <c r="PR226" s="48"/>
      <c r="PS226" s="48"/>
      <c r="PT226" s="48"/>
      <c r="PU226" s="48"/>
      <c r="PV226" s="48"/>
      <c r="PW226" s="48"/>
      <c r="PX226" s="48"/>
      <c r="PY226" s="48"/>
      <c r="PZ226" s="48"/>
      <c r="QA226" s="48"/>
      <c r="QB226" s="48"/>
      <c r="QC226" s="48"/>
      <c r="QD226" s="48"/>
      <c r="QE226" s="48"/>
      <c r="QF226" s="48"/>
      <c r="QG226" s="48"/>
      <c r="QH226" s="48"/>
      <c r="QI226" s="48"/>
      <c r="QJ226" s="48"/>
      <c r="QK226" s="48"/>
      <c r="QL226" s="48"/>
      <c r="QM226" s="48"/>
      <c r="QN226" s="48"/>
      <c r="QO226" s="48"/>
      <c r="QP226" s="48"/>
      <c r="QQ226" s="48"/>
      <c r="QR226" s="48"/>
      <c r="QS226" s="48"/>
      <c r="QT226" s="48"/>
      <c r="QU226" s="48"/>
      <c r="QV226" s="48"/>
      <c r="QW226" s="48"/>
      <c r="QX226" s="48"/>
      <c r="QY226" s="48"/>
      <c r="QZ226" s="48"/>
      <c r="RA226" s="48"/>
      <c r="RB226" s="48"/>
      <c r="RC226" s="48"/>
      <c r="RD226" s="48"/>
      <c r="RE226" s="48"/>
      <c r="RF226" s="48"/>
      <c r="RG226" s="48"/>
      <c r="RH226" s="48"/>
      <c r="RI226" s="48"/>
      <c r="RJ226" s="48"/>
      <c r="RK226" s="48"/>
      <c r="RL226" s="48"/>
      <c r="RM226" s="48"/>
      <c r="RN226" s="48"/>
      <c r="RO226" s="48"/>
      <c r="RP226" s="48"/>
      <c r="RQ226" s="48"/>
      <c r="RR226" s="48"/>
      <c r="RS226" s="48"/>
      <c r="RT226" s="48"/>
      <c r="RU226" s="48"/>
      <c r="RV226" s="48"/>
      <c r="RW226" s="48"/>
      <c r="RX226" s="48"/>
      <c r="RY226" s="48"/>
      <c r="RZ226" s="48"/>
      <c r="SA226" s="48"/>
      <c r="SB226" s="48"/>
      <c r="SC226" s="48"/>
      <c r="SD226" s="48"/>
      <c r="SE226" s="48"/>
      <c r="SF226" s="48"/>
      <c r="SG226" s="48"/>
      <c r="SH226" s="48"/>
      <c r="SI226" s="48"/>
      <c r="SJ226" s="48"/>
      <c r="SK226" s="48"/>
      <c r="SL226" s="48"/>
      <c r="SM226" s="48"/>
      <c r="SN226" s="48"/>
      <c r="SO226" s="48"/>
      <c r="SP226" s="48"/>
      <c r="SQ226" s="48"/>
      <c r="SR226" s="48"/>
      <c r="SS226" s="48"/>
      <c r="ST226" s="48"/>
      <c r="SU226" s="48"/>
      <c r="SV226" s="48"/>
      <c r="SW226" s="48"/>
      <c r="SX226" s="48"/>
      <c r="SY226" s="48"/>
      <c r="SZ226" s="48"/>
      <c r="TA226" s="48"/>
      <c r="TB226" s="48"/>
      <c r="TC226" s="48"/>
      <c r="TD226" s="48"/>
      <c r="TE226" s="48"/>
      <c r="TF226" s="48"/>
      <c r="TG226" s="48"/>
      <c r="TH226" s="48"/>
      <c r="TI226" s="48"/>
      <c r="TJ226" s="48"/>
      <c r="TK226" s="48"/>
      <c r="TL226" s="48"/>
      <c r="TM226" s="48"/>
      <c r="TN226" s="48"/>
      <c r="TO226" s="48"/>
      <c r="TP226" s="48"/>
      <c r="TQ226" s="48"/>
      <c r="TR226" s="48"/>
      <c r="TS226" s="48"/>
      <c r="TT226" s="48"/>
      <c r="TU226" s="48"/>
      <c r="TV226" s="48"/>
      <c r="TW226" s="48"/>
      <c r="TX226" s="48"/>
      <c r="TY226" s="48"/>
      <c r="TZ226" s="48"/>
      <c r="UA226" s="48"/>
      <c r="UB226" s="48"/>
      <c r="UC226" s="48"/>
      <c r="UD226" s="48"/>
      <c r="UE226" s="48"/>
      <c r="UF226" s="48"/>
      <c r="UG226" s="48"/>
      <c r="UH226" s="48"/>
      <c r="UI226" s="48"/>
      <c r="UJ226" s="48"/>
      <c r="UK226" s="48"/>
      <c r="UL226" s="48"/>
      <c r="UM226" s="48"/>
      <c r="UN226" s="48"/>
      <c r="UO226" s="48"/>
      <c r="UP226" s="48"/>
      <c r="UQ226" s="48"/>
      <c r="UR226" s="48"/>
      <c r="US226" s="48"/>
      <c r="UT226" s="48"/>
      <c r="UU226" s="48"/>
      <c r="UV226" s="48"/>
      <c r="UW226" s="48"/>
      <c r="UX226" s="48"/>
      <c r="UY226" s="48"/>
      <c r="UZ226" s="48"/>
      <c r="VA226" s="48"/>
      <c r="VB226" s="48"/>
      <c r="VC226" s="48"/>
      <c r="VD226" s="48"/>
      <c r="VE226" s="48"/>
      <c r="VF226" s="48"/>
      <c r="VG226" s="48"/>
      <c r="VH226" s="48"/>
      <c r="VI226" s="48"/>
      <c r="VJ226" s="48"/>
      <c r="VK226" s="48"/>
      <c r="VL226" s="48"/>
      <c r="VM226" s="48"/>
      <c r="VN226" s="48"/>
      <c r="VO226" s="48"/>
      <c r="VP226" s="48"/>
      <c r="VQ226" s="48"/>
      <c r="VR226" s="48"/>
      <c r="VS226" s="48"/>
      <c r="VT226" s="48"/>
      <c r="VU226" s="48"/>
      <c r="VV226" s="48"/>
      <c r="VW226" s="48"/>
      <c r="VX226" s="48"/>
      <c r="VY226" s="48"/>
      <c r="VZ226" s="48"/>
      <c r="WA226" s="48"/>
      <c r="WB226" s="48"/>
      <c r="WC226" s="48"/>
      <c r="WD226" s="48"/>
      <c r="WE226" s="48"/>
      <c r="WF226" s="48"/>
      <c r="WG226" s="48"/>
      <c r="WH226" s="48"/>
      <c r="WI226" s="48"/>
      <c r="WJ226" s="48"/>
      <c r="WK226" s="48"/>
      <c r="WL226" s="48"/>
      <c r="WM226" s="48"/>
      <c r="WN226" s="48"/>
      <c r="WO226" s="48"/>
      <c r="WP226" s="48"/>
      <c r="WQ226" s="48"/>
      <c r="WR226" s="48"/>
      <c r="WS226" s="48"/>
      <c r="WT226" s="48"/>
      <c r="WU226" s="48"/>
      <c r="WV226" s="48"/>
      <c r="WW226" s="48"/>
      <c r="WX226" s="48"/>
      <c r="WY226" s="48"/>
      <c r="WZ226" s="48"/>
      <c r="XA226" s="48"/>
      <c r="XB226" s="48"/>
      <c r="XC226" s="48"/>
      <c r="XD226" s="48"/>
      <c r="XE226" s="48"/>
      <c r="XF226" s="48"/>
      <c r="XG226" s="48"/>
      <c r="XH226" s="48"/>
      <c r="XI226" s="48"/>
      <c r="XJ226" s="48"/>
      <c r="XK226" s="48"/>
      <c r="XL226" s="48"/>
      <c r="XM226" s="48"/>
      <c r="XN226" s="48"/>
      <c r="XO226" s="48"/>
      <c r="XP226" s="48"/>
      <c r="XQ226" s="48"/>
      <c r="XR226" s="48"/>
      <c r="XS226" s="48"/>
      <c r="XT226" s="48"/>
      <c r="XU226" s="48"/>
      <c r="XV226" s="48"/>
      <c r="XW226" s="48"/>
      <c r="XX226" s="48"/>
      <c r="XY226" s="48"/>
      <c r="XZ226" s="48"/>
      <c r="YA226" s="48"/>
      <c r="YB226" s="48"/>
      <c r="YC226" s="48"/>
      <c r="YD226" s="48"/>
      <c r="YE226" s="48"/>
      <c r="YF226" s="48"/>
      <c r="YG226" s="48"/>
      <c r="YH226" s="48"/>
      <c r="YI226" s="48"/>
      <c r="YJ226" s="48"/>
      <c r="YK226" s="48"/>
      <c r="YL226" s="48"/>
      <c r="YM226" s="48"/>
      <c r="YN226" s="48"/>
      <c r="YO226" s="48"/>
      <c r="YP226" s="48"/>
      <c r="YQ226" s="48"/>
      <c r="YR226" s="48"/>
      <c r="YS226" s="48"/>
      <c r="YT226" s="48"/>
      <c r="YU226" s="48"/>
      <c r="YV226" s="48"/>
      <c r="YW226" s="48"/>
      <c r="YX226" s="48"/>
      <c r="YY226" s="48"/>
      <c r="YZ226" s="48"/>
      <c r="ZA226" s="48"/>
      <c r="ZB226" s="48"/>
      <c r="ZC226" s="48"/>
      <c r="ZD226" s="48"/>
      <c r="ZE226" s="48"/>
      <c r="ZF226" s="48"/>
      <c r="ZG226" s="48"/>
      <c r="ZH226" s="48"/>
      <c r="ZI226" s="48"/>
      <c r="ZJ226" s="48"/>
      <c r="ZK226" s="48"/>
      <c r="ZL226" s="48"/>
      <c r="ZM226" s="48"/>
      <c r="ZN226" s="48"/>
      <c r="ZO226" s="48"/>
      <c r="ZP226" s="48"/>
      <c r="ZQ226" s="48"/>
      <c r="ZR226" s="48"/>
      <c r="ZS226" s="48"/>
      <c r="ZT226" s="48"/>
      <c r="ZU226" s="48"/>
      <c r="ZV226" s="48"/>
      <c r="ZW226" s="48"/>
      <c r="ZX226" s="48"/>
      <c r="ZY226" s="48"/>
      <c r="ZZ226" s="48"/>
      <c r="AAA226" s="48"/>
      <c r="AAB226" s="48"/>
      <c r="AAC226" s="48"/>
      <c r="AAD226" s="48"/>
      <c r="AAE226" s="48"/>
      <c r="AAF226" s="48"/>
      <c r="AAG226" s="48"/>
      <c r="AAH226" s="48"/>
      <c r="AAI226" s="48"/>
      <c r="AAJ226" s="48"/>
      <c r="AAK226" s="48"/>
      <c r="AAL226" s="48"/>
      <c r="AAM226" s="48"/>
      <c r="AAN226" s="48"/>
      <c r="AAO226" s="48"/>
      <c r="AAP226" s="48"/>
      <c r="AAQ226" s="48"/>
      <c r="AAR226" s="48"/>
      <c r="AAS226" s="48"/>
      <c r="AAT226" s="48"/>
      <c r="AAU226" s="48"/>
      <c r="AAV226" s="48"/>
      <c r="AAW226" s="48"/>
      <c r="AAX226" s="48"/>
      <c r="AAY226" s="48"/>
      <c r="AAZ226" s="48"/>
      <c r="ABA226" s="48"/>
      <c r="ABB226" s="48"/>
      <c r="ABC226" s="48"/>
      <c r="ABD226" s="48"/>
      <c r="ABE226" s="48"/>
      <c r="ABF226" s="48"/>
      <c r="ABG226" s="48"/>
      <c r="ABH226" s="48"/>
      <c r="ABI226" s="48"/>
      <c r="ABJ226" s="48"/>
      <c r="ABK226" s="48"/>
      <c r="ABL226" s="48"/>
      <c r="ABM226" s="48"/>
      <c r="ABN226" s="48"/>
      <c r="ABO226" s="48"/>
      <c r="ABP226" s="48"/>
      <c r="ABQ226" s="48"/>
      <c r="ABR226" s="48"/>
      <c r="ABS226" s="48"/>
      <c r="ABT226" s="48"/>
      <c r="ABU226" s="48"/>
      <c r="ABV226" s="48"/>
      <c r="ABW226" s="48"/>
      <c r="ABX226" s="48"/>
      <c r="ABY226" s="48"/>
      <c r="ABZ226" s="48"/>
      <c r="ACA226" s="48"/>
      <c r="ACB226" s="48"/>
      <c r="ACC226" s="48"/>
      <c r="ACD226" s="48"/>
      <c r="ACE226" s="48"/>
      <c r="ACF226" s="48"/>
      <c r="ACG226" s="48"/>
      <c r="ACH226" s="48"/>
      <c r="ACI226" s="48"/>
      <c r="ACJ226" s="48"/>
      <c r="ACK226" s="48"/>
      <c r="ACL226" s="48"/>
      <c r="ACM226" s="48"/>
      <c r="ACN226" s="48"/>
      <c r="ACO226" s="48"/>
      <c r="ACP226" s="48"/>
      <c r="ACQ226" s="48"/>
      <c r="ACR226" s="48"/>
      <c r="ACS226" s="48"/>
      <c r="ACT226" s="48"/>
      <c r="ACU226" s="48"/>
      <c r="ACV226" s="48"/>
      <c r="ACW226" s="48"/>
      <c r="ACX226" s="48"/>
      <c r="ACY226" s="48"/>
      <c r="ACZ226" s="48"/>
      <c r="ADA226" s="48"/>
      <c r="ADB226" s="48"/>
      <c r="ADC226" s="48"/>
      <c r="ADD226" s="48"/>
      <c r="ADE226" s="48"/>
      <c r="ADF226" s="48"/>
      <c r="ADG226" s="48"/>
      <c r="ADH226" s="48"/>
      <c r="ADI226" s="48"/>
      <c r="ADJ226" s="48"/>
      <c r="ADK226" s="48"/>
      <c r="ADL226" s="48"/>
      <c r="ADM226" s="48"/>
      <c r="ADN226" s="48"/>
      <c r="ADO226" s="48"/>
      <c r="ADP226" s="48"/>
      <c r="ADQ226" s="48"/>
      <c r="ADR226" s="48"/>
      <c r="ADS226" s="48"/>
      <c r="ADT226" s="48"/>
      <c r="ADU226" s="48"/>
      <c r="ADV226" s="48"/>
      <c r="ADW226" s="48"/>
      <c r="ADX226" s="48"/>
      <c r="ADY226" s="48"/>
      <c r="ADZ226" s="48"/>
      <c r="AEA226" s="48"/>
      <c r="AEB226" s="48"/>
      <c r="AEC226" s="48"/>
      <c r="AED226" s="48"/>
      <c r="AEE226" s="48"/>
      <c r="AEF226" s="48"/>
      <c r="AEG226" s="48"/>
      <c r="AEH226" s="48"/>
      <c r="AEI226" s="48"/>
      <c r="AEJ226" s="48"/>
      <c r="AEK226" s="48"/>
      <c r="AEL226" s="48"/>
      <c r="AEM226" s="48"/>
      <c r="AEN226" s="48"/>
      <c r="AEO226" s="48"/>
      <c r="AEP226" s="48"/>
      <c r="AEQ226" s="48"/>
      <c r="AER226" s="48"/>
      <c r="AES226" s="48"/>
      <c r="AET226" s="48"/>
      <c r="AEU226" s="48"/>
      <c r="AEV226" s="48"/>
      <c r="AEW226" s="48"/>
      <c r="AEX226" s="48"/>
      <c r="AEY226" s="48"/>
      <c r="AEZ226" s="48"/>
      <c r="AFA226" s="48"/>
      <c r="AFB226" s="48"/>
      <c r="AFC226" s="48"/>
      <c r="AFD226" s="48"/>
      <c r="AFE226" s="48"/>
      <c r="AFF226" s="48"/>
      <c r="AFG226" s="48"/>
      <c r="AFH226" s="48"/>
      <c r="AFI226" s="48"/>
      <c r="AFJ226" s="48"/>
      <c r="AFK226" s="48"/>
      <c r="AFL226" s="48"/>
      <c r="AFM226" s="48"/>
      <c r="AFN226" s="48"/>
      <c r="AFO226" s="48"/>
      <c r="AFP226" s="48"/>
      <c r="AFQ226" s="48"/>
      <c r="AFR226" s="48"/>
      <c r="AFS226" s="48"/>
      <c r="AFT226" s="48"/>
      <c r="AFU226" s="48"/>
      <c r="AFV226" s="48"/>
      <c r="AFW226" s="48"/>
      <c r="AFX226" s="48"/>
      <c r="AFY226" s="48"/>
      <c r="AFZ226" s="48"/>
      <c r="AGA226" s="48"/>
      <c r="AGB226" s="48"/>
      <c r="AGC226" s="48"/>
      <c r="AGD226" s="48"/>
      <c r="AGE226" s="48"/>
      <c r="AGF226" s="48"/>
      <c r="AGG226" s="48"/>
      <c r="AGH226" s="48"/>
      <c r="AGI226" s="48"/>
      <c r="AGJ226" s="48"/>
      <c r="AGK226" s="48"/>
      <c r="AGL226" s="48"/>
      <c r="AGM226" s="48"/>
      <c r="AGN226" s="48"/>
      <c r="AGO226" s="48"/>
      <c r="AGP226" s="48"/>
      <c r="AGQ226" s="48"/>
      <c r="AGR226" s="48"/>
      <c r="AGS226" s="48"/>
      <c r="AGT226" s="48"/>
      <c r="AGU226" s="48"/>
      <c r="AGV226" s="48"/>
      <c r="AGW226" s="48"/>
      <c r="AGX226" s="48"/>
      <c r="AGY226" s="48"/>
      <c r="AGZ226" s="48"/>
      <c r="AHA226" s="48"/>
      <c r="AHB226" s="48"/>
      <c r="AHC226" s="48"/>
      <c r="AHD226" s="48"/>
      <c r="AHE226" s="48"/>
      <c r="AHF226" s="48"/>
      <c r="AHG226" s="48"/>
      <c r="AHH226" s="48"/>
      <c r="AHI226" s="48"/>
      <c r="AHJ226" s="48"/>
      <c r="AHK226" s="48"/>
      <c r="AHL226" s="48"/>
      <c r="AHM226" s="48"/>
      <c r="AHN226" s="48"/>
      <c r="AHO226" s="48"/>
      <c r="AHP226" s="48"/>
      <c r="AHQ226" s="48"/>
      <c r="AHR226" s="48"/>
      <c r="AHS226" s="48"/>
      <c r="AHT226" s="48"/>
      <c r="AHU226" s="48"/>
      <c r="AHV226" s="48"/>
      <c r="AHW226" s="48"/>
      <c r="AHX226" s="48"/>
      <c r="AHY226" s="48"/>
      <c r="AHZ226" s="48"/>
      <c r="AIA226" s="48"/>
      <c r="AIB226" s="48"/>
      <c r="AIC226" s="48"/>
      <c r="AID226" s="48"/>
      <c r="AIE226" s="48"/>
      <c r="AIF226" s="48"/>
      <c r="AIG226" s="48"/>
      <c r="AIH226" s="48"/>
      <c r="AII226" s="48"/>
      <c r="AIJ226" s="48"/>
      <c r="AIK226" s="48"/>
      <c r="AIL226" s="48"/>
      <c r="AIM226" s="48"/>
      <c r="AIN226" s="48"/>
      <c r="AIO226" s="48"/>
      <c r="AIP226" s="48"/>
      <c r="AIQ226" s="48"/>
      <c r="AIR226" s="48"/>
      <c r="AIS226" s="48"/>
      <c r="AIT226" s="48"/>
      <c r="AIU226" s="48"/>
      <c r="AIV226" s="48"/>
      <c r="AIW226" s="48"/>
      <c r="AIX226" s="48"/>
      <c r="AIY226" s="48"/>
      <c r="AIZ226" s="48"/>
      <c r="AJA226" s="48"/>
      <c r="AJB226" s="48"/>
      <c r="AJC226" s="48"/>
      <c r="AJD226" s="48"/>
      <c r="AJE226" s="48"/>
      <c r="AJF226" s="48"/>
      <c r="AJG226" s="48"/>
      <c r="AJH226" s="48"/>
      <c r="AJI226" s="48"/>
      <c r="AJJ226" s="48"/>
      <c r="AJK226" s="48"/>
      <c r="AJL226" s="48"/>
      <c r="AJM226" s="48"/>
      <c r="AJN226" s="48"/>
      <c r="AJO226" s="48"/>
      <c r="AJP226" s="48"/>
      <c r="AJQ226" s="48"/>
      <c r="AJR226" s="48"/>
      <c r="AJS226" s="48"/>
      <c r="AJT226" s="48"/>
      <c r="AJU226" s="48"/>
      <c r="AJV226" s="48"/>
      <c r="AJW226" s="48"/>
      <c r="AJX226" s="48"/>
      <c r="AJY226" s="48"/>
      <c r="AJZ226" s="48"/>
      <c r="AKA226" s="48"/>
      <c r="AKB226" s="48"/>
      <c r="AKC226" s="48"/>
      <c r="AKD226" s="48"/>
      <c r="AKE226" s="48"/>
      <c r="AKF226" s="48"/>
      <c r="AKG226" s="48"/>
      <c r="AKH226" s="48"/>
      <c r="AKI226" s="48"/>
      <c r="AKJ226" s="48"/>
      <c r="AKK226" s="48"/>
      <c r="AKL226" s="48"/>
      <c r="AKM226" s="48"/>
      <c r="AKN226" s="48"/>
      <c r="AKO226" s="48"/>
      <c r="AKP226" s="48"/>
      <c r="AKQ226" s="48"/>
      <c r="AKR226" s="48"/>
      <c r="AKS226" s="48"/>
      <c r="AKT226" s="48"/>
      <c r="AKU226" s="48"/>
      <c r="AKV226" s="48"/>
      <c r="AKW226" s="48"/>
      <c r="AKX226" s="48"/>
      <c r="AKY226" s="48"/>
      <c r="AKZ226" s="48"/>
      <c r="ALA226" s="48"/>
      <c r="ALB226" s="48"/>
      <c r="ALC226" s="48"/>
      <c r="ALD226" s="48"/>
      <c r="ALE226" s="48"/>
      <c r="ALF226" s="48"/>
      <c r="ALG226" s="48"/>
      <c r="ALH226" s="48"/>
      <c r="ALI226" s="48"/>
      <c r="ALJ226" s="48"/>
      <c r="ALK226" s="48"/>
      <c r="ALL226" s="48"/>
      <c r="ALM226" s="48"/>
      <c r="ALN226" s="48"/>
      <c r="ALO226" s="48"/>
      <c r="ALP226" s="48"/>
      <c r="ALQ226" s="48"/>
      <c r="ALR226" s="48"/>
      <c r="ALS226" s="48"/>
      <c r="ALT226" s="48"/>
      <c r="ALU226" s="48"/>
      <c r="ALV226" s="48"/>
      <c r="ALW226" s="48"/>
      <c r="ALX226" s="48"/>
      <c r="ALY226" s="48"/>
      <c r="ALZ226" s="48"/>
      <c r="AMA226" s="48"/>
      <c r="AMB226" s="48"/>
      <c r="AMC226" s="48"/>
      <c r="AMD226" s="48"/>
      <c r="AME226" s="48"/>
      <c r="AMF226" s="48"/>
      <c r="AMG226" s="48"/>
      <c r="AMH226" s="48"/>
      <c r="AMI226" s="48"/>
      <c r="AMJ226" s="48"/>
      <c r="AMK226" s="48"/>
    </row>
    <row r="227" spans="1:1025" s="80" customFormat="1" x14ac:dyDescent="0.25">
      <c r="A227" s="91" t="s">
        <v>530</v>
      </c>
      <c r="B227" s="54" t="s">
        <v>138</v>
      </c>
      <c r="C227" s="55">
        <v>4.9000000000000004</v>
      </c>
      <c r="D227" s="55">
        <v>4.3</v>
      </c>
      <c r="E227" s="55">
        <v>40.9</v>
      </c>
      <c r="F227" s="55">
        <v>222</v>
      </c>
      <c r="G227" s="55">
        <v>20.13</v>
      </c>
      <c r="H227" s="55">
        <v>11.56</v>
      </c>
      <c r="I227" s="55">
        <v>1.66</v>
      </c>
      <c r="J227" s="55">
        <v>4.4000000000000004</v>
      </c>
      <c r="K227" s="90" t="s">
        <v>447</v>
      </c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  <c r="CC227" s="48"/>
      <c r="CD227" s="48"/>
      <c r="CE227" s="48"/>
      <c r="CF227" s="48"/>
      <c r="CG227" s="48"/>
      <c r="CH227" s="48"/>
      <c r="CI227" s="48"/>
      <c r="CJ227" s="48"/>
      <c r="CK227" s="48"/>
      <c r="CL227" s="48"/>
      <c r="CM227" s="48"/>
      <c r="CN227" s="48"/>
      <c r="CO227" s="48"/>
      <c r="CP227" s="48"/>
      <c r="CQ227" s="48"/>
      <c r="CR227" s="48"/>
      <c r="CS227" s="48"/>
      <c r="CT227" s="48"/>
      <c r="CU227" s="48"/>
      <c r="CV227" s="48"/>
      <c r="CW227" s="48"/>
      <c r="CX227" s="48"/>
      <c r="CY227" s="48"/>
      <c r="CZ227" s="48"/>
      <c r="DA227" s="48"/>
      <c r="DB227" s="48"/>
      <c r="DC227" s="48"/>
      <c r="DD227" s="48"/>
      <c r="DE227" s="48"/>
      <c r="DF227" s="48"/>
      <c r="DG227" s="48"/>
      <c r="DH227" s="48"/>
      <c r="DI227" s="48"/>
      <c r="DJ227" s="48"/>
      <c r="DK227" s="48"/>
      <c r="DL227" s="48"/>
      <c r="DM227" s="48"/>
      <c r="DN227" s="48"/>
      <c r="DO227" s="48"/>
      <c r="DP227" s="48"/>
      <c r="DQ227" s="48"/>
      <c r="DR227" s="48"/>
      <c r="DS227" s="48"/>
      <c r="DT227" s="48"/>
      <c r="DU227" s="48"/>
      <c r="DV227" s="48"/>
      <c r="DW227" s="48"/>
      <c r="DX227" s="48"/>
      <c r="DY227" s="48"/>
      <c r="DZ227" s="48"/>
      <c r="EA227" s="48"/>
      <c r="EB227" s="48"/>
      <c r="EC227" s="48"/>
      <c r="ED227" s="48"/>
      <c r="EE227" s="48"/>
      <c r="EF227" s="48"/>
      <c r="EG227" s="48"/>
      <c r="EH227" s="48"/>
      <c r="EI227" s="48"/>
      <c r="EJ227" s="48"/>
      <c r="EK227" s="48"/>
      <c r="EL227" s="48"/>
      <c r="EM227" s="48"/>
      <c r="EN227" s="48"/>
      <c r="EO227" s="48"/>
      <c r="EP227" s="48"/>
      <c r="EQ227" s="48"/>
      <c r="ER227" s="48"/>
      <c r="ES227" s="48"/>
      <c r="ET227" s="48"/>
      <c r="EU227" s="48"/>
      <c r="EV227" s="48"/>
      <c r="EW227" s="48"/>
      <c r="EX227" s="48"/>
      <c r="EY227" s="48"/>
      <c r="EZ227" s="48"/>
      <c r="FA227" s="48"/>
      <c r="FB227" s="48"/>
      <c r="FC227" s="48"/>
      <c r="FD227" s="48"/>
      <c r="FE227" s="48"/>
      <c r="FF227" s="48"/>
      <c r="FG227" s="48"/>
      <c r="FH227" s="48"/>
      <c r="FI227" s="48"/>
      <c r="FJ227" s="48"/>
      <c r="FK227" s="48"/>
      <c r="FL227" s="48"/>
      <c r="FM227" s="48"/>
      <c r="FN227" s="48"/>
      <c r="FO227" s="48"/>
      <c r="FP227" s="48"/>
      <c r="FQ227" s="48"/>
      <c r="FR227" s="48"/>
      <c r="FS227" s="48"/>
      <c r="FT227" s="48"/>
      <c r="FU227" s="48"/>
      <c r="FV227" s="48"/>
      <c r="FW227" s="48"/>
      <c r="FX227" s="48"/>
      <c r="FY227" s="48"/>
      <c r="FZ227" s="48"/>
      <c r="GA227" s="48"/>
      <c r="GB227" s="48"/>
      <c r="GC227" s="48"/>
      <c r="GD227" s="48"/>
      <c r="GE227" s="48"/>
      <c r="GF227" s="48"/>
      <c r="GG227" s="48"/>
      <c r="GH227" s="48"/>
      <c r="GI227" s="48"/>
      <c r="GJ227" s="48"/>
      <c r="GK227" s="48"/>
      <c r="GL227" s="48"/>
      <c r="GM227" s="48"/>
      <c r="GN227" s="48"/>
      <c r="GO227" s="48"/>
      <c r="GP227" s="48"/>
      <c r="GQ227" s="48"/>
      <c r="GR227" s="48"/>
      <c r="GS227" s="48"/>
      <c r="GT227" s="48"/>
      <c r="GU227" s="48"/>
      <c r="GV227" s="48"/>
      <c r="GW227" s="48"/>
      <c r="GX227" s="48"/>
      <c r="GY227" s="48"/>
      <c r="GZ227" s="48"/>
      <c r="HA227" s="48"/>
      <c r="HB227" s="48"/>
      <c r="HC227" s="48"/>
      <c r="HD227" s="48"/>
      <c r="HE227" s="48"/>
      <c r="HF227" s="48"/>
      <c r="HG227" s="48"/>
      <c r="HH227" s="48"/>
      <c r="HI227" s="48"/>
      <c r="HJ227" s="48"/>
      <c r="HK227" s="48"/>
      <c r="HL227" s="48"/>
      <c r="HM227" s="48"/>
      <c r="HN227" s="48"/>
      <c r="HO227" s="48"/>
      <c r="HP227" s="48"/>
      <c r="HQ227" s="48"/>
      <c r="HR227" s="48"/>
      <c r="HS227" s="48"/>
      <c r="HT227" s="48"/>
      <c r="HU227" s="48"/>
      <c r="HV227" s="48"/>
      <c r="HW227" s="48"/>
      <c r="HX227" s="48"/>
      <c r="HY227" s="48"/>
      <c r="HZ227" s="48"/>
      <c r="IA227" s="48"/>
      <c r="IB227" s="48"/>
      <c r="IC227" s="48"/>
      <c r="ID227" s="48"/>
      <c r="IE227" s="48"/>
      <c r="IF227" s="48"/>
      <c r="IG227" s="48"/>
      <c r="IH227" s="48"/>
      <c r="II227" s="48"/>
      <c r="IJ227" s="48"/>
      <c r="IK227" s="48"/>
      <c r="IL227" s="48"/>
      <c r="IM227" s="48"/>
      <c r="IN227" s="48"/>
      <c r="IO227" s="48"/>
      <c r="IP227" s="48"/>
      <c r="IQ227" s="48"/>
      <c r="IR227" s="48"/>
      <c r="IS227" s="48"/>
      <c r="IT227" s="48"/>
      <c r="IU227" s="48"/>
      <c r="IV227" s="48"/>
      <c r="IW227" s="48"/>
      <c r="IX227" s="48"/>
      <c r="IY227" s="48"/>
      <c r="IZ227" s="48"/>
      <c r="JA227" s="48"/>
      <c r="JB227" s="48"/>
      <c r="JC227" s="48"/>
      <c r="JD227" s="48"/>
      <c r="JE227" s="48"/>
      <c r="JF227" s="48"/>
      <c r="JG227" s="48"/>
      <c r="JH227" s="48"/>
      <c r="JI227" s="48"/>
      <c r="JJ227" s="48"/>
      <c r="JK227" s="48"/>
      <c r="JL227" s="48"/>
      <c r="JM227" s="48"/>
      <c r="JN227" s="48"/>
      <c r="JO227" s="48"/>
      <c r="JP227" s="48"/>
      <c r="JQ227" s="48"/>
      <c r="JR227" s="48"/>
      <c r="JS227" s="48"/>
      <c r="JT227" s="48"/>
      <c r="JU227" s="48"/>
      <c r="JV227" s="48"/>
      <c r="JW227" s="48"/>
      <c r="JX227" s="48"/>
      <c r="JY227" s="48"/>
      <c r="JZ227" s="48"/>
      <c r="KA227" s="48"/>
      <c r="KB227" s="48"/>
      <c r="KC227" s="48"/>
      <c r="KD227" s="48"/>
      <c r="KE227" s="48"/>
      <c r="KF227" s="48"/>
      <c r="KG227" s="48"/>
      <c r="KH227" s="48"/>
      <c r="KI227" s="48"/>
      <c r="KJ227" s="48"/>
      <c r="KK227" s="48"/>
      <c r="KL227" s="48"/>
      <c r="KM227" s="48"/>
      <c r="KN227" s="48"/>
      <c r="KO227" s="48"/>
      <c r="KP227" s="48"/>
      <c r="KQ227" s="48"/>
      <c r="KR227" s="48"/>
      <c r="KS227" s="48"/>
      <c r="KT227" s="48"/>
      <c r="KU227" s="48"/>
      <c r="KV227" s="48"/>
      <c r="KW227" s="48"/>
      <c r="KX227" s="48"/>
      <c r="KY227" s="48"/>
      <c r="KZ227" s="48"/>
      <c r="LA227" s="48"/>
      <c r="LB227" s="48"/>
      <c r="LC227" s="48"/>
      <c r="LD227" s="48"/>
      <c r="LE227" s="48"/>
      <c r="LF227" s="48"/>
      <c r="LG227" s="48"/>
      <c r="LH227" s="48"/>
      <c r="LI227" s="48"/>
      <c r="LJ227" s="48"/>
      <c r="LK227" s="48"/>
      <c r="LL227" s="48"/>
      <c r="LM227" s="48"/>
      <c r="LN227" s="48"/>
      <c r="LO227" s="48"/>
      <c r="LP227" s="48"/>
      <c r="LQ227" s="48"/>
      <c r="LR227" s="48"/>
      <c r="LS227" s="48"/>
      <c r="LT227" s="48"/>
      <c r="LU227" s="48"/>
      <c r="LV227" s="48"/>
      <c r="LW227" s="48"/>
      <c r="LX227" s="48"/>
      <c r="LY227" s="48"/>
      <c r="LZ227" s="48"/>
      <c r="MA227" s="48"/>
      <c r="MB227" s="48"/>
      <c r="MC227" s="48"/>
      <c r="MD227" s="48"/>
      <c r="ME227" s="48"/>
      <c r="MF227" s="48"/>
      <c r="MG227" s="48"/>
      <c r="MH227" s="48"/>
      <c r="MI227" s="48"/>
      <c r="MJ227" s="48"/>
      <c r="MK227" s="48"/>
      <c r="ML227" s="48"/>
      <c r="MM227" s="48"/>
      <c r="MN227" s="48"/>
      <c r="MO227" s="48"/>
      <c r="MP227" s="48"/>
      <c r="MQ227" s="48"/>
      <c r="MR227" s="48"/>
      <c r="MS227" s="48"/>
      <c r="MT227" s="48"/>
      <c r="MU227" s="48"/>
      <c r="MV227" s="48"/>
      <c r="MW227" s="48"/>
      <c r="MX227" s="48"/>
      <c r="MY227" s="48"/>
      <c r="MZ227" s="48"/>
      <c r="NA227" s="48"/>
      <c r="NB227" s="48"/>
      <c r="NC227" s="48"/>
      <c r="ND227" s="48"/>
      <c r="NE227" s="48"/>
      <c r="NF227" s="48"/>
      <c r="NG227" s="48"/>
      <c r="NH227" s="48"/>
      <c r="NI227" s="48"/>
      <c r="NJ227" s="48"/>
      <c r="NK227" s="48"/>
      <c r="NL227" s="48"/>
      <c r="NM227" s="48"/>
      <c r="NN227" s="48"/>
      <c r="NO227" s="48"/>
      <c r="NP227" s="48"/>
      <c r="NQ227" s="48"/>
      <c r="NR227" s="48"/>
      <c r="NS227" s="48"/>
      <c r="NT227" s="48"/>
      <c r="NU227" s="48"/>
      <c r="NV227" s="48"/>
      <c r="NW227" s="48"/>
      <c r="NX227" s="48"/>
      <c r="NY227" s="48"/>
      <c r="NZ227" s="48"/>
      <c r="OA227" s="48"/>
      <c r="OB227" s="48"/>
      <c r="OC227" s="48"/>
      <c r="OD227" s="48"/>
      <c r="OE227" s="48"/>
      <c r="OF227" s="48"/>
      <c r="OG227" s="48"/>
      <c r="OH227" s="48"/>
      <c r="OI227" s="48"/>
      <c r="OJ227" s="48"/>
      <c r="OK227" s="48"/>
      <c r="OL227" s="48"/>
      <c r="OM227" s="48"/>
      <c r="ON227" s="48"/>
      <c r="OO227" s="48"/>
      <c r="OP227" s="48"/>
      <c r="OQ227" s="48"/>
      <c r="OR227" s="48"/>
      <c r="OS227" s="48"/>
      <c r="OT227" s="48"/>
      <c r="OU227" s="48"/>
      <c r="OV227" s="48"/>
      <c r="OW227" s="48"/>
      <c r="OX227" s="48"/>
      <c r="OY227" s="48"/>
      <c r="OZ227" s="48"/>
      <c r="PA227" s="48"/>
      <c r="PB227" s="48"/>
      <c r="PC227" s="48"/>
      <c r="PD227" s="48"/>
      <c r="PE227" s="48"/>
      <c r="PF227" s="48"/>
      <c r="PG227" s="48"/>
      <c r="PH227" s="48"/>
      <c r="PI227" s="48"/>
      <c r="PJ227" s="48"/>
      <c r="PK227" s="48"/>
      <c r="PL227" s="48"/>
      <c r="PM227" s="48"/>
      <c r="PN227" s="48"/>
      <c r="PO227" s="48"/>
      <c r="PP227" s="48"/>
      <c r="PQ227" s="48"/>
      <c r="PR227" s="48"/>
      <c r="PS227" s="48"/>
      <c r="PT227" s="48"/>
      <c r="PU227" s="48"/>
      <c r="PV227" s="48"/>
      <c r="PW227" s="48"/>
      <c r="PX227" s="48"/>
      <c r="PY227" s="48"/>
      <c r="PZ227" s="48"/>
      <c r="QA227" s="48"/>
      <c r="QB227" s="48"/>
      <c r="QC227" s="48"/>
      <c r="QD227" s="48"/>
      <c r="QE227" s="48"/>
      <c r="QF227" s="48"/>
      <c r="QG227" s="48"/>
      <c r="QH227" s="48"/>
      <c r="QI227" s="48"/>
      <c r="QJ227" s="48"/>
      <c r="QK227" s="48"/>
      <c r="QL227" s="48"/>
      <c r="QM227" s="48"/>
      <c r="QN227" s="48"/>
      <c r="QO227" s="48"/>
      <c r="QP227" s="48"/>
      <c r="QQ227" s="48"/>
      <c r="QR227" s="48"/>
      <c r="QS227" s="48"/>
      <c r="QT227" s="48"/>
      <c r="QU227" s="48"/>
      <c r="QV227" s="48"/>
      <c r="QW227" s="48"/>
      <c r="QX227" s="48"/>
      <c r="QY227" s="48"/>
      <c r="QZ227" s="48"/>
      <c r="RA227" s="48"/>
      <c r="RB227" s="48"/>
      <c r="RC227" s="48"/>
      <c r="RD227" s="48"/>
      <c r="RE227" s="48"/>
      <c r="RF227" s="48"/>
      <c r="RG227" s="48"/>
      <c r="RH227" s="48"/>
      <c r="RI227" s="48"/>
      <c r="RJ227" s="48"/>
      <c r="RK227" s="48"/>
      <c r="RL227" s="48"/>
      <c r="RM227" s="48"/>
      <c r="RN227" s="48"/>
      <c r="RO227" s="48"/>
      <c r="RP227" s="48"/>
      <c r="RQ227" s="48"/>
      <c r="RR227" s="48"/>
      <c r="RS227" s="48"/>
      <c r="RT227" s="48"/>
      <c r="RU227" s="48"/>
      <c r="RV227" s="48"/>
      <c r="RW227" s="48"/>
      <c r="RX227" s="48"/>
      <c r="RY227" s="48"/>
      <c r="RZ227" s="48"/>
      <c r="SA227" s="48"/>
      <c r="SB227" s="48"/>
      <c r="SC227" s="48"/>
      <c r="SD227" s="48"/>
      <c r="SE227" s="48"/>
      <c r="SF227" s="48"/>
      <c r="SG227" s="48"/>
      <c r="SH227" s="48"/>
      <c r="SI227" s="48"/>
      <c r="SJ227" s="48"/>
      <c r="SK227" s="48"/>
      <c r="SL227" s="48"/>
      <c r="SM227" s="48"/>
      <c r="SN227" s="48"/>
      <c r="SO227" s="48"/>
      <c r="SP227" s="48"/>
      <c r="SQ227" s="48"/>
      <c r="SR227" s="48"/>
      <c r="SS227" s="48"/>
      <c r="ST227" s="48"/>
      <c r="SU227" s="48"/>
      <c r="SV227" s="48"/>
      <c r="SW227" s="48"/>
      <c r="SX227" s="48"/>
      <c r="SY227" s="48"/>
      <c r="SZ227" s="48"/>
      <c r="TA227" s="48"/>
      <c r="TB227" s="48"/>
      <c r="TC227" s="48"/>
      <c r="TD227" s="48"/>
      <c r="TE227" s="48"/>
      <c r="TF227" s="48"/>
      <c r="TG227" s="48"/>
      <c r="TH227" s="48"/>
      <c r="TI227" s="48"/>
      <c r="TJ227" s="48"/>
      <c r="TK227" s="48"/>
      <c r="TL227" s="48"/>
      <c r="TM227" s="48"/>
      <c r="TN227" s="48"/>
      <c r="TO227" s="48"/>
      <c r="TP227" s="48"/>
      <c r="TQ227" s="48"/>
      <c r="TR227" s="48"/>
      <c r="TS227" s="48"/>
      <c r="TT227" s="48"/>
      <c r="TU227" s="48"/>
      <c r="TV227" s="48"/>
      <c r="TW227" s="48"/>
      <c r="TX227" s="48"/>
      <c r="TY227" s="48"/>
      <c r="TZ227" s="48"/>
      <c r="UA227" s="48"/>
      <c r="UB227" s="48"/>
      <c r="UC227" s="48"/>
      <c r="UD227" s="48"/>
      <c r="UE227" s="48"/>
      <c r="UF227" s="48"/>
      <c r="UG227" s="48"/>
      <c r="UH227" s="48"/>
      <c r="UI227" s="48"/>
      <c r="UJ227" s="48"/>
      <c r="UK227" s="48"/>
      <c r="UL227" s="48"/>
      <c r="UM227" s="48"/>
      <c r="UN227" s="48"/>
      <c r="UO227" s="48"/>
      <c r="UP227" s="48"/>
      <c r="UQ227" s="48"/>
      <c r="UR227" s="48"/>
      <c r="US227" s="48"/>
      <c r="UT227" s="48"/>
      <c r="UU227" s="48"/>
      <c r="UV227" s="48"/>
      <c r="UW227" s="48"/>
      <c r="UX227" s="48"/>
      <c r="UY227" s="48"/>
      <c r="UZ227" s="48"/>
      <c r="VA227" s="48"/>
      <c r="VB227" s="48"/>
      <c r="VC227" s="48"/>
      <c r="VD227" s="48"/>
      <c r="VE227" s="48"/>
      <c r="VF227" s="48"/>
      <c r="VG227" s="48"/>
      <c r="VH227" s="48"/>
      <c r="VI227" s="48"/>
      <c r="VJ227" s="48"/>
      <c r="VK227" s="48"/>
      <c r="VL227" s="48"/>
      <c r="VM227" s="48"/>
      <c r="VN227" s="48"/>
      <c r="VO227" s="48"/>
      <c r="VP227" s="48"/>
      <c r="VQ227" s="48"/>
      <c r="VR227" s="48"/>
      <c r="VS227" s="48"/>
      <c r="VT227" s="48"/>
      <c r="VU227" s="48"/>
      <c r="VV227" s="48"/>
      <c r="VW227" s="48"/>
      <c r="VX227" s="48"/>
      <c r="VY227" s="48"/>
      <c r="VZ227" s="48"/>
      <c r="WA227" s="48"/>
      <c r="WB227" s="48"/>
      <c r="WC227" s="48"/>
      <c r="WD227" s="48"/>
      <c r="WE227" s="48"/>
      <c r="WF227" s="48"/>
      <c r="WG227" s="48"/>
      <c r="WH227" s="48"/>
      <c r="WI227" s="48"/>
      <c r="WJ227" s="48"/>
      <c r="WK227" s="48"/>
      <c r="WL227" s="48"/>
      <c r="WM227" s="48"/>
      <c r="WN227" s="48"/>
      <c r="WO227" s="48"/>
      <c r="WP227" s="48"/>
      <c r="WQ227" s="48"/>
      <c r="WR227" s="48"/>
      <c r="WS227" s="48"/>
      <c r="WT227" s="48"/>
      <c r="WU227" s="48"/>
      <c r="WV227" s="48"/>
      <c r="WW227" s="48"/>
      <c r="WX227" s="48"/>
      <c r="WY227" s="48"/>
      <c r="WZ227" s="48"/>
      <c r="XA227" s="48"/>
      <c r="XB227" s="48"/>
      <c r="XC227" s="48"/>
      <c r="XD227" s="48"/>
      <c r="XE227" s="48"/>
      <c r="XF227" s="48"/>
      <c r="XG227" s="48"/>
      <c r="XH227" s="48"/>
      <c r="XI227" s="48"/>
      <c r="XJ227" s="48"/>
      <c r="XK227" s="48"/>
      <c r="XL227" s="48"/>
      <c r="XM227" s="48"/>
      <c r="XN227" s="48"/>
      <c r="XO227" s="48"/>
      <c r="XP227" s="48"/>
      <c r="XQ227" s="48"/>
      <c r="XR227" s="48"/>
      <c r="XS227" s="48"/>
      <c r="XT227" s="48"/>
      <c r="XU227" s="48"/>
      <c r="XV227" s="48"/>
      <c r="XW227" s="48"/>
      <c r="XX227" s="48"/>
      <c r="XY227" s="48"/>
      <c r="XZ227" s="48"/>
      <c r="YA227" s="48"/>
      <c r="YB227" s="48"/>
      <c r="YC227" s="48"/>
      <c r="YD227" s="48"/>
      <c r="YE227" s="48"/>
      <c r="YF227" s="48"/>
      <c r="YG227" s="48"/>
      <c r="YH227" s="48"/>
      <c r="YI227" s="48"/>
      <c r="YJ227" s="48"/>
      <c r="YK227" s="48"/>
      <c r="YL227" s="48"/>
      <c r="YM227" s="48"/>
      <c r="YN227" s="48"/>
      <c r="YO227" s="48"/>
      <c r="YP227" s="48"/>
      <c r="YQ227" s="48"/>
      <c r="YR227" s="48"/>
      <c r="YS227" s="48"/>
      <c r="YT227" s="48"/>
      <c r="YU227" s="48"/>
      <c r="YV227" s="48"/>
      <c r="YW227" s="48"/>
      <c r="YX227" s="48"/>
      <c r="YY227" s="48"/>
      <c r="YZ227" s="48"/>
      <c r="ZA227" s="48"/>
      <c r="ZB227" s="48"/>
      <c r="ZC227" s="48"/>
      <c r="ZD227" s="48"/>
      <c r="ZE227" s="48"/>
      <c r="ZF227" s="48"/>
      <c r="ZG227" s="48"/>
      <c r="ZH227" s="48"/>
      <c r="ZI227" s="48"/>
      <c r="ZJ227" s="48"/>
      <c r="ZK227" s="48"/>
      <c r="ZL227" s="48"/>
      <c r="ZM227" s="48"/>
      <c r="ZN227" s="48"/>
      <c r="ZO227" s="48"/>
      <c r="ZP227" s="48"/>
      <c r="ZQ227" s="48"/>
      <c r="ZR227" s="48"/>
      <c r="ZS227" s="48"/>
      <c r="ZT227" s="48"/>
      <c r="ZU227" s="48"/>
      <c r="ZV227" s="48"/>
      <c r="ZW227" s="48"/>
      <c r="ZX227" s="48"/>
      <c r="ZY227" s="48"/>
      <c r="ZZ227" s="48"/>
      <c r="AAA227" s="48"/>
      <c r="AAB227" s="48"/>
      <c r="AAC227" s="48"/>
      <c r="AAD227" s="48"/>
      <c r="AAE227" s="48"/>
      <c r="AAF227" s="48"/>
      <c r="AAG227" s="48"/>
      <c r="AAH227" s="48"/>
      <c r="AAI227" s="48"/>
      <c r="AAJ227" s="48"/>
      <c r="AAK227" s="48"/>
      <c r="AAL227" s="48"/>
      <c r="AAM227" s="48"/>
      <c r="AAN227" s="48"/>
      <c r="AAO227" s="48"/>
      <c r="AAP227" s="48"/>
      <c r="AAQ227" s="48"/>
      <c r="AAR227" s="48"/>
      <c r="AAS227" s="48"/>
      <c r="AAT227" s="48"/>
      <c r="AAU227" s="48"/>
      <c r="AAV227" s="48"/>
      <c r="AAW227" s="48"/>
      <c r="AAX227" s="48"/>
      <c r="AAY227" s="48"/>
      <c r="AAZ227" s="48"/>
      <c r="ABA227" s="48"/>
      <c r="ABB227" s="48"/>
      <c r="ABC227" s="48"/>
      <c r="ABD227" s="48"/>
      <c r="ABE227" s="48"/>
      <c r="ABF227" s="48"/>
      <c r="ABG227" s="48"/>
      <c r="ABH227" s="48"/>
      <c r="ABI227" s="48"/>
      <c r="ABJ227" s="48"/>
      <c r="ABK227" s="48"/>
      <c r="ABL227" s="48"/>
      <c r="ABM227" s="48"/>
      <c r="ABN227" s="48"/>
      <c r="ABO227" s="48"/>
      <c r="ABP227" s="48"/>
      <c r="ABQ227" s="48"/>
      <c r="ABR227" s="48"/>
      <c r="ABS227" s="48"/>
      <c r="ABT227" s="48"/>
      <c r="ABU227" s="48"/>
      <c r="ABV227" s="48"/>
      <c r="ABW227" s="48"/>
      <c r="ABX227" s="48"/>
      <c r="ABY227" s="48"/>
      <c r="ABZ227" s="48"/>
      <c r="ACA227" s="48"/>
      <c r="ACB227" s="48"/>
      <c r="ACC227" s="48"/>
      <c r="ACD227" s="48"/>
      <c r="ACE227" s="48"/>
      <c r="ACF227" s="48"/>
      <c r="ACG227" s="48"/>
      <c r="ACH227" s="48"/>
      <c r="ACI227" s="48"/>
      <c r="ACJ227" s="48"/>
      <c r="ACK227" s="48"/>
      <c r="ACL227" s="48"/>
      <c r="ACM227" s="48"/>
      <c r="ACN227" s="48"/>
      <c r="ACO227" s="48"/>
      <c r="ACP227" s="48"/>
      <c r="ACQ227" s="48"/>
      <c r="ACR227" s="48"/>
      <c r="ACS227" s="48"/>
      <c r="ACT227" s="48"/>
      <c r="ACU227" s="48"/>
      <c r="ACV227" s="48"/>
      <c r="ACW227" s="48"/>
      <c r="ACX227" s="48"/>
      <c r="ACY227" s="48"/>
      <c r="ACZ227" s="48"/>
      <c r="ADA227" s="48"/>
      <c r="ADB227" s="48"/>
      <c r="ADC227" s="48"/>
      <c r="ADD227" s="48"/>
      <c r="ADE227" s="48"/>
      <c r="ADF227" s="48"/>
      <c r="ADG227" s="48"/>
      <c r="ADH227" s="48"/>
      <c r="ADI227" s="48"/>
      <c r="ADJ227" s="48"/>
      <c r="ADK227" s="48"/>
      <c r="ADL227" s="48"/>
      <c r="ADM227" s="48"/>
      <c r="ADN227" s="48"/>
      <c r="ADO227" s="48"/>
      <c r="ADP227" s="48"/>
      <c r="ADQ227" s="48"/>
      <c r="ADR227" s="48"/>
      <c r="ADS227" s="48"/>
      <c r="ADT227" s="48"/>
      <c r="ADU227" s="48"/>
      <c r="ADV227" s="48"/>
      <c r="ADW227" s="48"/>
      <c r="ADX227" s="48"/>
      <c r="ADY227" s="48"/>
      <c r="ADZ227" s="48"/>
      <c r="AEA227" s="48"/>
      <c r="AEB227" s="48"/>
      <c r="AEC227" s="48"/>
      <c r="AED227" s="48"/>
      <c r="AEE227" s="48"/>
      <c r="AEF227" s="48"/>
      <c r="AEG227" s="48"/>
      <c r="AEH227" s="48"/>
      <c r="AEI227" s="48"/>
      <c r="AEJ227" s="48"/>
      <c r="AEK227" s="48"/>
      <c r="AEL227" s="48"/>
      <c r="AEM227" s="48"/>
      <c r="AEN227" s="48"/>
      <c r="AEO227" s="48"/>
      <c r="AEP227" s="48"/>
      <c r="AEQ227" s="48"/>
      <c r="AER227" s="48"/>
      <c r="AES227" s="48"/>
      <c r="AET227" s="48"/>
      <c r="AEU227" s="48"/>
      <c r="AEV227" s="48"/>
      <c r="AEW227" s="48"/>
      <c r="AEX227" s="48"/>
      <c r="AEY227" s="48"/>
      <c r="AEZ227" s="48"/>
      <c r="AFA227" s="48"/>
      <c r="AFB227" s="48"/>
      <c r="AFC227" s="48"/>
      <c r="AFD227" s="48"/>
      <c r="AFE227" s="48"/>
      <c r="AFF227" s="48"/>
      <c r="AFG227" s="48"/>
      <c r="AFH227" s="48"/>
      <c r="AFI227" s="48"/>
      <c r="AFJ227" s="48"/>
      <c r="AFK227" s="48"/>
      <c r="AFL227" s="48"/>
      <c r="AFM227" s="48"/>
      <c r="AFN227" s="48"/>
      <c r="AFO227" s="48"/>
      <c r="AFP227" s="48"/>
      <c r="AFQ227" s="48"/>
      <c r="AFR227" s="48"/>
      <c r="AFS227" s="48"/>
      <c r="AFT227" s="48"/>
      <c r="AFU227" s="48"/>
      <c r="AFV227" s="48"/>
      <c r="AFW227" s="48"/>
      <c r="AFX227" s="48"/>
      <c r="AFY227" s="48"/>
      <c r="AFZ227" s="48"/>
      <c r="AGA227" s="48"/>
      <c r="AGB227" s="48"/>
      <c r="AGC227" s="48"/>
      <c r="AGD227" s="48"/>
      <c r="AGE227" s="48"/>
      <c r="AGF227" s="48"/>
      <c r="AGG227" s="48"/>
      <c r="AGH227" s="48"/>
      <c r="AGI227" s="48"/>
      <c r="AGJ227" s="48"/>
      <c r="AGK227" s="48"/>
      <c r="AGL227" s="48"/>
      <c r="AGM227" s="48"/>
      <c r="AGN227" s="48"/>
      <c r="AGO227" s="48"/>
      <c r="AGP227" s="48"/>
      <c r="AGQ227" s="48"/>
      <c r="AGR227" s="48"/>
      <c r="AGS227" s="48"/>
      <c r="AGT227" s="48"/>
      <c r="AGU227" s="48"/>
      <c r="AGV227" s="48"/>
      <c r="AGW227" s="48"/>
      <c r="AGX227" s="48"/>
      <c r="AGY227" s="48"/>
      <c r="AGZ227" s="48"/>
      <c r="AHA227" s="48"/>
      <c r="AHB227" s="48"/>
      <c r="AHC227" s="48"/>
      <c r="AHD227" s="48"/>
      <c r="AHE227" s="48"/>
      <c r="AHF227" s="48"/>
      <c r="AHG227" s="48"/>
      <c r="AHH227" s="48"/>
      <c r="AHI227" s="48"/>
      <c r="AHJ227" s="48"/>
      <c r="AHK227" s="48"/>
      <c r="AHL227" s="48"/>
      <c r="AHM227" s="48"/>
      <c r="AHN227" s="48"/>
      <c r="AHO227" s="48"/>
      <c r="AHP227" s="48"/>
      <c r="AHQ227" s="48"/>
      <c r="AHR227" s="48"/>
      <c r="AHS227" s="48"/>
      <c r="AHT227" s="48"/>
      <c r="AHU227" s="48"/>
      <c r="AHV227" s="48"/>
      <c r="AHW227" s="48"/>
      <c r="AHX227" s="48"/>
      <c r="AHY227" s="48"/>
      <c r="AHZ227" s="48"/>
      <c r="AIA227" s="48"/>
      <c r="AIB227" s="48"/>
      <c r="AIC227" s="48"/>
      <c r="AID227" s="48"/>
      <c r="AIE227" s="48"/>
      <c r="AIF227" s="48"/>
      <c r="AIG227" s="48"/>
      <c r="AIH227" s="48"/>
      <c r="AII227" s="48"/>
      <c r="AIJ227" s="48"/>
      <c r="AIK227" s="48"/>
      <c r="AIL227" s="48"/>
      <c r="AIM227" s="48"/>
      <c r="AIN227" s="48"/>
      <c r="AIO227" s="48"/>
      <c r="AIP227" s="48"/>
      <c r="AIQ227" s="48"/>
      <c r="AIR227" s="48"/>
      <c r="AIS227" s="48"/>
      <c r="AIT227" s="48"/>
      <c r="AIU227" s="48"/>
      <c r="AIV227" s="48"/>
      <c r="AIW227" s="48"/>
      <c r="AIX227" s="48"/>
      <c r="AIY227" s="48"/>
      <c r="AIZ227" s="48"/>
      <c r="AJA227" s="48"/>
      <c r="AJB227" s="48"/>
      <c r="AJC227" s="48"/>
      <c r="AJD227" s="48"/>
      <c r="AJE227" s="48"/>
      <c r="AJF227" s="48"/>
      <c r="AJG227" s="48"/>
      <c r="AJH227" s="48"/>
      <c r="AJI227" s="48"/>
      <c r="AJJ227" s="48"/>
      <c r="AJK227" s="48"/>
      <c r="AJL227" s="48"/>
      <c r="AJM227" s="48"/>
      <c r="AJN227" s="48"/>
      <c r="AJO227" s="48"/>
      <c r="AJP227" s="48"/>
      <c r="AJQ227" s="48"/>
      <c r="AJR227" s="48"/>
      <c r="AJS227" s="48"/>
      <c r="AJT227" s="48"/>
      <c r="AJU227" s="48"/>
      <c r="AJV227" s="48"/>
      <c r="AJW227" s="48"/>
      <c r="AJX227" s="48"/>
      <c r="AJY227" s="48"/>
      <c r="AJZ227" s="48"/>
      <c r="AKA227" s="48"/>
      <c r="AKB227" s="48"/>
      <c r="AKC227" s="48"/>
      <c r="AKD227" s="48"/>
      <c r="AKE227" s="48"/>
      <c r="AKF227" s="48"/>
      <c r="AKG227" s="48"/>
      <c r="AKH227" s="48"/>
      <c r="AKI227" s="48"/>
      <c r="AKJ227" s="48"/>
      <c r="AKK227" s="48"/>
      <c r="AKL227" s="48"/>
      <c r="AKM227" s="48"/>
      <c r="AKN227" s="48"/>
      <c r="AKO227" s="48"/>
      <c r="AKP227" s="48"/>
      <c r="AKQ227" s="48"/>
      <c r="AKR227" s="48"/>
      <c r="AKS227" s="48"/>
      <c r="AKT227" s="48"/>
      <c r="AKU227" s="48"/>
      <c r="AKV227" s="48"/>
      <c r="AKW227" s="48"/>
      <c r="AKX227" s="48"/>
      <c r="AKY227" s="48"/>
      <c r="AKZ227" s="48"/>
      <c r="ALA227" s="48"/>
      <c r="ALB227" s="48"/>
      <c r="ALC227" s="48"/>
      <c r="ALD227" s="48"/>
      <c r="ALE227" s="48"/>
      <c r="ALF227" s="48"/>
      <c r="ALG227" s="48"/>
      <c r="ALH227" s="48"/>
      <c r="ALI227" s="48"/>
      <c r="ALJ227" s="48"/>
      <c r="ALK227" s="48"/>
      <c r="ALL227" s="48"/>
      <c r="ALM227" s="48"/>
      <c r="ALN227" s="48"/>
      <c r="ALO227" s="48"/>
      <c r="ALP227" s="48"/>
      <c r="ALQ227" s="48"/>
      <c r="ALR227" s="48"/>
      <c r="ALS227" s="48"/>
      <c r="ALT227" s="48"/>
      <c r="ALU227" s="48"/>
      <c r="ALV227" s="48"/>
      <c r="ALW227" s="48"/>
      <c r="ALX227" s="48"/>
      <c r="ALY227" s="48"/>
      <c r="ALZ227" s="48"/>
      <c r="AMA227" s="48"/>
      <c r="AMB227" s="48"/>
      <c r="AMC227" s="48"/>
      <c r="AMD227" s="48"/>
      <c r="AME227" s="48"/>
      <c r="AMF227" s="48"/>
      <c r="AMG227" s="48"/>
      <c r="AMH227" s="48"/>
      <c r="AMI227" s="48"/>
      <c r="AMJ227" s="48"/>
      <c r="AMK227" s="48"/>
    </row>
    <row r="228" spans="1:1025" s="80" customFormat="1" x14ac:dyDescent="0.25">
      <c r="A228" s="91" t="s">
        <v>531</v>
      </c>
      <c r="B228" s="54">
        <v>200</v>
      </c>
      <c r="C228" s="55">
        <v>0.1</v>
      </c>
      <c r="D228" s="55">
        <v>0.1</v>
      </c>
      <c r="E228" s="55">
        <v>21.2</v>
      </c>
      <c r="F228" s="55">
        <v>83</v>
      </c>
      <c r="G228" s="55">
        <v>2.72</v>
      </c>
      <c r="H228" s="55">
        <v>0.67</v>
      </c>
      <c r="I228" s="55">
        <v>7.0000000000000007E-2</v>
      </c>
      <c r="J228" s="55">
        <v>0.6</v>
      </c>
      <c r="K228" s="90" t="s">
        <v>318</v>
      </c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8"/>
      <c r="BN228" s="48"/>
      <c r="BO228" s="48"/>
      <c r="BP228" s="48"/>
      <c r="BQ228" s="48"/>
      <c r="BR228" s="48"/>
      <c r="BS228" s="48"/>
      <c r="BT228" s="48"/>
      <c r="BU228" s="48"/>
      <c r="BV228" s="48"/>
      <c r="BW228" s="48"/>
      <c r="BX228" s="48"/>
      <c r="BY228" s="48"/>
      <c r="BZ228" s="48"/>
      <c r="CA228" s="48"/>
      <c r="CB228" s="48"/>
      <c r="CC228" s="48"/>
      <c r="CD228" s="48"/>
      <c r="CE228" s="48"/>
      <c r="CF228" s="48"/>
      <c r="CG228" s="48"/>
      <c r="CH228" s="48"/>
      <c r="CI228" s="48"/>
      <c r="CJ228" s="48"/>
      <c r="CK228" s="48"/>
      <c r="CL228" s="48"/>
      <c r="CM228" s="48"/>
      <c r="CN228" s="48"/>
      <c r="CO228" s="48"/>
      <c r="CP228" s="48"/>
      <c r="CQ228" s="48"/>
      <c r="CR228" s="48"/>
      <c r="CS228" s="48"/>
      <c r="CT228" s="48"/>
      <c r="CU228" s="48"/>
      <c r="CV228" s="48"/>
      <c r="CW228" s="48"/>
      <c r="CX228" s="48"/>
      <c r="CY228" s="48"/>
      <c r="CZ228" s="48"/>
      <c r="DA228" s="48"/>
      <c r="DB228" s="48"/>
      <c r="DC228" s="48"/>
      <c r="DD228" s="48"/>
      <c r="DE228" s="48"/>
      <c r="DF228" s="48"/>
      <c r="DG228" s="48"/>
      <c r="DH228" s="48"/>
      <c r="DI228" s="48"/>
      <c r="DJ228" s="48"/>
      <c r="DK228" s="48"/>
      <c r="DL228" s="48"/>
      <c r="DM228" s="48"/>
      <c r="DN228" s="48"/>
      <c r="DO228" s="48"/>
      <c r="DP228" s="48"/>
      <c r="DQ228" s="48"/>
      <c r="DR228" s="48"/>
      <c r="DS228" s="48"/>
      <c r="DT228" s="48"/>
      <c r="DU228" s="48"/>
      <c r="DV228" s="48"/>
      <c r="DW228" s="48"/>
      <c r="DX228" s="48"/>
      <c r="DY228" s="48"/>
      <c r="DZ228" s="48"/>
      <c r="EA228" s="48"/>
      <c r="EB228" s="48"/>
      <c r="EC228" s="48"/>
      <c r="ED228" s="48"/>
      <c r="EE228" s="48"/>
      <c r="EF228" s="48"/>
      <c r="EG228" s="48"/>
      <c r="EH228" s="48"/>
      <c r="EI228" s="48"/>
      <c r="EJ228" s="48"/>
      <c r="EK228" s="48"/>
      <c r="EL228" s="48"/>
      <c r="EM228" s="48"/>
      <c r="EN228" s="48"/>
      <c r="EO228" s="48"/>
      <c r="EP228" s="48"/>
      <c r="EQ228" s="48"/>
      <c r="ER228" s="48"/>
      <c r="ES228" s="48"/>
      <c r="ET228" s="48"/>
      <c r="EU228" s="48"/>
      <c r="EV228" s="48"/>
      <c r="EW228" s="48"/>
      <c r="EX228" s="48"/>
      <c r="EY228" s="48"/>
      <c r="EZ228" s="48"/>
      <c r="FA228" s="48"/>
      <c r="FB228" s="48"/>
      <c r="FC228" s="48"/>
      <c r="FD228" s="48"/>
      <c r="FE228" s="48"/>
      <c r="FF228" s="48"/>
      <c r="FG228" s="48"/>
      <c r="FH228" s="48"/>
      <c r="FI228" s="48"/>
      <c r="FJ228" s="48"/>
      <c r="FK228" s="48"/>
      <c r="FL228" s="48"/>
      <c r="FM228" s="48"/>
      <c r="FN228" s="48"/>
      <c r="FO228" s="48"/>
      <c r="FP228" s="48"/>
      <c r="FQ228" s="48"/>
      <c r="FR228" s="48"/>
      <c r="FS228" s="48"/>
      <c r="FT228" s="48"/>
      <c r="FU228" s="48"/>
      <c r="FV228" s="48"/>
      <c r="FW228" s="48"/>
      <c r="FX228" s="48"/>
      <c r="FY228" s="48"/>
      <c r="FZ228" s="48"/>
      <c r="GA228" s="48"/>
      <c r="GB228" s="48"/>
      <c r="GC228" s="48"/>
      <c r="GD228" s="48"/>
      <c r="GE228" s="48"/>
      <c r="GF228" s="48"/>
      <c r="GG228" s="48"/>
      <c r="GH228" s="48"/>
      <c r="GI228" s="48"/>
      <c r="GJ228" s="48"/>
      <c r="GK228" s="48"/>
      <c r="GL228" s="48"/>
      <c r="GM228" s="48"/>
      <c r="GN228" s="48"/>
      <c r="GO228" s="48"/>
      <c r="GP228" s="48"/>
      <c r="GQ228" s="48"/>
      <c r="GR228" s="48"/>
      <c r="GS228" s="48"/>
      <c r="GT228" s="48"/>
      <c r="GU228" s="48"/>
      <c r="GV228" s="48"/>
      <c r="GW228" s="48"/>
      <c r="GX228" s="48"/>
      <c r="GY228" s="48"/>
      <c r="GZ228" s="48"/>
      <c r="HA228" s="48"/>
      <c r="HB228" s="48"/>
      <c r="HC228" s="48"/>
      <c r="HD228" s="48"/>
      <c r="HE228" s="48"/>
      <c r="HF228" s="48"/>
      <c r="HG228" s="48"/>
      <c r="HH228" s="48"/>
      <c r="HI228" s="48"/>
      <c r="HJ228" s="48"/>
      <c r="HK228" s="48"/>
      <c r="HL228" s="48"/>
      <c r="HM228" s="48"/>
      <c r="HN228" s="48"/>
      <c r="HO228" s="48"/>
      <c r="HP228" s="48"/>
      <c r="HQ228" s="48"/>
      <c r="HR228" s="48"/>
      <c r="HS228" s="48"/>
      <c r="HT228" s="48"/>
      <c r="HU228" s="48"/>
      <c r="HV228" s="48"/>
      <c r="HW228" s="48"/>
      <c r="HX228" s="48"/>
      <c r="HY228" s="48"/>
      <c r="HZ228" s="48"/>
      <c r="IA228" s="48"/>
      <c r="IB228" s="48"/>
      <c r="IC228" s="48"/>
      <c r="ID228" s="48"/>
      <c r="IE228" s="48"/>
      <c r="IF228" s="48"/>
      <c r="IG228" s="48"/>
      <c r="IH228" s="48"/>
      <c r="II228" s="48"/>
      <c r="IJ228" s="48"/>
      <c r="IK228" s="48"/>
      <c r="IL228" s="48"/>
      <c r="IM228" s="48"/>
      <c r="IN228" s="48"/>
      <c r="IO228" s="48"/>
      <c r="IP228" s="48"/>
      <c r="IQ228" s="48"/>
      <c r="IR228" s="48"/>
      <c r="IS228" s="48"/>
      <c r="IT228" s="48"/>
      <c r="IU228" s="48"/>
      <c r="IV228" s="48"/>
      <c r="IW228" s="48"/>
      <c r="IX228" s="48"/>
      <c r="IY228" s="48"/>
      <c r="IZ228" s="48"/>
      <c r="JA228" s="48"/>
      <c r="JB228" s="48"/>
      <c r="JC228" s="48"/>
      <c r="JD228" s="48"/>
      <c r="JE228" s="48"/>
      <c r="JF228" s="48"/>
      <c r="JG228" s="48"/>
      <c r="JH228" s="48"/>
      <c r="JI228" s="48"/>
      <c r="JJ228" s="48"/>
      <c r="JK228" s="48"/>
      <c r="JL228" s="48"/>
      <c r="JM228" s="48"/>
      <c r="JN228" s="48"/>
      <c r="JO228" s="48"/>
      <c r="JP228" s="48"/>
      <c r="JQ228" s="48"/>
      <c r="JR228" s="48"/>
      <c r="JS228" s="48"/>
      <c r="JT228" s="48"/>
      <c r="JU228" s="48"/>
      <c r="JV228" s="48"/>
      <c r="JW228" s="48"/>
      <c r="JX228" s="48"/>
      <c r="JY228" s="48"/>
      <c r="JZ228" s="48"/>
      <c r="KA228" s="48"/>
      <c r="KB228" s="48"/>
      <c r="KC228" s="48"/>
      <c r="KD228" s="48"/>
      <c r="KE228" s="48"/>
      <c r="KF228" s="48"/>
      <c r="KG228" s="48"/>
      <c r="KH228" s="48"/>
      <c r="KI228" s="48"/>
      <c r="KJ228" s="48"/>
      <c r="KK228" s="48"/>
      <c r="KL228" s="48"/>
      <c r="KM228" s="48"/>
      <c r="KN228" s="48"/>
      <c r="KO228" s="48"/>
      <c r="KP228" s="48"/>
      <c r="KQ228" s="48"/>
      <c r="KR228" s="48"/>
      <c r="KS228" s="48"/>
      <c r="KT228" s="48"/>
      <c r="KU228" s="48"/>
      <c r="KV228" s="48"/>
      <c r="KW228" s="48"/>
      <c r="KX228" s="48"/>
      <c r="KY228" s="48"/>
      <c r="KZ228" s="48"/>
      <c r="LA228" s="48"/>
      <c r="LB228" s="48"/>
      <c r="LC228" s="48"/>
      <c r="LD228" s="48"/>
      <c r="LE228" s="48"/>
      <c r="LF228" s="48"/>
      <c r="LG228" s="48"/>
      <c r="LH228" s="48"/>
      <c r="LI228" s="48"/>
      <c r="LJ228" s="48"/>
      <c r="LK228" s="48"/>
      <c r="LL228" s="48"/>
      <c r="LM228" s="48"/>
      <c r="LN228" s="48"/>
      <c r="LO228" s="48"/>
      <c r="LP228" s="48"/>
      <c r="LQ228" s="48"/>
      <c r="LR228" s="48"/>
      <c r="LS228" s="48"/>
      <c r="LT228" s="48"/>
      <c r="LU228" s="48"/>
      <c r="LV228" s="48"/>
      <c r="LW228" s="48"/>
      <c r="LX228" s="48"/>
      <c r="LY228" s="48"/>
      <c r="LZ228" s="48"/>
      <c r="MA228" s="48"/>
      <c r="MB228" s="48"/>
      <c r="MC228" s="48"/>
      <c r="MD228" s="48"/>
      <c r="ME228" s="48"/>
      <c r="MF228" s="48"/>
      <c r="MG228" s="48"/>
      <c r="MH228" s="48"/>
      <c r="MI228" s="48"/>
      <c r="MJ228" s="48"/>
      <c r="MK228" s="48"/>
      <c r="ML228" s="48"/>
      <c r="MM228" s="48"/>
      <c r="MN228" s="48"/>
      <c r="MO228" s="48"/>
      <c r="MP228" s="48"/>
      <c r="MQ228" s="48"/>
      <c r="MR228" s="48"/>
      <c r="MS228" s="48"/>
      <c r="MT228" s="48"/>
      <c r="MU228" s="48"/>
      <c r="MV228" s="48"/>
      <c r="MW228" s="48"/>
      <c r="MX228" s="48"/>
      <c r="MY228" s="48"/>
      <c r="MZ228" s="48"/>
      <c r="NA228" s="48"/>
      <c r="NB228" s="48"/>
      <c r="NC228" s="48"/>
      <c r="ND228" s="48"/>
      <c r="NE228" s="48"/>
      <c r="NF228" s="48"/>
      <c r="NG228" s="48"/>
      <c r="NH228" s="48"/>
      <c r="NI228" s="48"/>
      <c r="NJ228" s="48"/>
      <c r="NK228" s="48"/>
      <c r="NL228" s="48"/>
      <c r="NM228" s="48"/>
      <c r="NN228" s="48"/>
      <c r="NO228" s="48"/>
      <c r="NP228" s="48"/>
      <c r="NQ228" s="48"/>
      <c r="NR228" s="48"/>
      <c r="NS228" s="48"/>
      <c r="NT228" s="48"/>
      <c r="NU228" s="48"/>
      <c r="NV228" s="48"/>
      <c r="NW228" s="48"/>
      <c r="NX228" s="48"/>
      <c r="NY228" s="48"/>
      <c r="NZ228" s="48"/>
      <c r="OA228" s="48"/>
      <c r="OB228" s="48"/>
      <c r="OC228" s="48"/>
      <c r="OD228" s="48"/>
      <c r="OE228" s="48"/>
      <c r="OF228" s="48"/>
      <c r="OG228" s="48"/>
      <c r="OH228" s="48"/>
      <c r="OI228" s="48"/>
      <c r="OJ228" s="48"/>
      <c r="OK228" s="48"/>
      <c r="OL228" s="48"/>
      <c r="OM228" s="48"/>
      <c r="ON228" s="48"/>
      <c r="OO228" s="48"/>
      <c r="OP228" s="48"/>
      <c r="OQ228" s="48"/>
      <c r="OR228" s="48"/>
      <c r="OS228" s="48"/>
      <c r="OT228" s="48"/>
      <c r="OU228" s="48"/>
      <c r="OV228" s="48"/>
      <c r="OW228" s="48"/>
      <c r="OX228" s="48"/>
      <c r="OY228" s="48"/>
      <c r="OZ228" s="48"/>
      <c r="PA228" s="48"/>
      <c r="PB228" s="48"/>
      <c r="PC228" s="48"/>
      <c r="PD228" s="48"/>
      <c r="PE228" s="48"/>
      <c r="PF228" s="48"/>
      <c r="PG228" s="48"/>
      <c r="PH228" s="48"/>
      <c r="PI228" s="48"/>
      <c r="PJ228" s="48"/>
      <c r="PK228" s="48"/>
      <c r="PL228" s="48"/>
      <c r="PM228" s="48"/>
      <c r="PN228" s="48"/>
      <c r="PO228" s="48"/>
      <c r="PP228" s="48"/>
      <c r="PQ228" s="48"/>
      <c r="PR228" s="48"/>
      <c r="PS228" s="48"/>
      <c r="PT228" s="48"/>
      <c r="PU228" s="48"/>
      <c r="PV228" s="48"/>
      <c r="PW228" s="48"/>
      <c r="PX228" s="48"/>
      <c r="PY228" s="48"/>
      <c r="PZ228" s="48"/>
      <c r="QA228" s="48"/>
      <c r="QB228" s="48"/>
      <c r="QC228" s="48"/>
      <c r="QD228" s="48"/>
      <c r="QE228" s="48"/>
      <c r="QF228" s="48"/>
      <c r="QG228" s="48"/>
      <c r="QH228" s="48"/>
      <c r="QI228" s="48"/>
      <c r="QJ228" s="48"/>
      <c r="QK228" s="48"/>
      <c r="QL228" s="48"/>
      <c r="QM228" s="48"/>
      <c r="QN228" s="48"/>
      <c r="QO228" s="48"/>
      <c r="QP228" s="48"/>
      <c r="QQ228" s="48"/>
      <c r="QR228" s="48"/>
      <c r="QS228" s="48"/>
      <c r="QT228" s="48"/>
      <c r="QU228" s="48"/>
      <c r="QV228" s="48"/>
      <c r="QW228" s="48"/>
      <c r="QX228" s="48"/>
      <c r="QY228" s="48"/>
      <c r="QZ228" s="48"/>
      <c r="RA228" s="48"/>
      <c r="RB228" s="48"/>
      <c r="RC228" s="48"/>
      <c r="RD228" s="48"/>
      <c r="RE228" s="48"/>
      <c r="RF228" s="48"/>
      <c r="RG228" s="48"/>
      <c r="RH228" s="48"/>
      <c r="RI228" s="48"/>
      <c r="RJ228" s="48"/>
      <c r="RK228" s="48"/>
      <c r="RL228" s="48"/>
      <c r="RM228" s="48"/>
      <c r="RN228" s="48"/>
      <c r="RO228" s="48"/>
      <c r="RP228" s="48"/>
      <c r="RQ228" s="48"/>
      <c r="RR228" s="48"/>
      <c r="RS228" s="48"/>
      <c r="RT228" s="48"/>
      <c r="RU228" s="48"/>
      <c r="RV228" s="48"/>
      <c r="RW228" s="48"/>
      <c r="RX228" s="48"/>
      <c r="RY228" s="48"/>
      <c r="RZ228" s="48"/>
      <c r="SA228" s="48"/>
      <c r="SB228" s="48"/>
      <c r="SC228" s="48"/>
      <c r="SD228" s="48"/>
      <c r="SE228" s="48"/>
      <c r="SF228" s="48"/>
      <c r="SG228" s="48"/>
      <c r="SH228" s="48"/>
      <c r="SI228" s="48"/>
      <c r="SJ228" s="48"/>
      <c r="SK228" s="48"/>
      <c r="SL228" s="48"/>
      <c r="SM228" s="48"/>
      <c r="SN228" s="48"/>
      <c r="SO228" s="48"/>
      <c r="SP228" s="48"/>
      <c r="SQ228" s="48"/>
      <c r="SR228" s="48"/>
      <c r="SS228" s="48"/>
      <c r="ST228" s="48"/>
      <c r="SU228" s="48"/>
      <c r="SV228" s="48"/>
      <c r="SW228" s="48"/>
      <c r="SX228" s="48"/>
      <c r="SY228" s="48"/>
      <c r="SZ228" s="48"/>
      <c r="TA228" s="48"/>
      <c r="TB228" s="48"/>
      <c r="TC228" s="48"/>
      <c r="TD228" s="48"/>
      <c r="TE228" s="48"/>
      <c r="TF228" s="48"/>
      <c r="TG228" s="48"/>
      <c r="TH228" s="48"/>
      <c r="TI228" s="48"/>
      <c r="TJ228" s="48"/>
      <c r="TK228" s="48"/>
      <c r="TL228" s="48"/>
      <c r="TM228" s="48"/>
      <c r="TN228" s="48"/>
      <c r="TO228" s="48"/>
      <c r="TP228" s="48"/>
      <c r="TQ228" s="48"/>
      <c r="TR228" s="48"/>
      <c r="TS228" s="48"/>
      <c r="TT228" s="48"/>
      <c r="TU228" s="48"/>
      <c r="TV228" s="48"/>
      <c r="TW228" s="48"/>
      <c r="TX228" s="48"/>
      <c r="TY228" s="48"/>
      <c r="TZ228" s="48"/>
      <c r="UA228" s="48"/>
      <c r="UB228" s="48"/>
      <c r="UC228" s="48"/>
      <c r="UD228" s="48"/>
      <c r="UE228" s="48"/>
      <c r="UF228" s="48"/>
      <c r="UG228" s="48"/>
      <c r="UH228" s="48"/>
      <c r="UI228" s="48"/>
      <c r="UJ228" s="48"/>
      <c r="UK228" s="48"/>
      <c r="UL228" s="48"/>
      <c r="UM228" s="48"/>
      <c r="UN228" s="48"/>
      <c r="UO228" s="48"/>
      <c r="UP228" s="48"/>
      <c r="UQ228" s="48"/>
      <c r="UR228" s="48"/>
      <c r="US228" s="48"/>
      <c r="UT228" s="48"/>
      <c r="UU228" s="48"/>
      <c r="UV228" s="48"/>
      <c r="UW228" s="48"/>
      <c r="UX228" s="48"/>
      <c r="UY228" s="48"/>
      <c r="UZ228" s="48"/>
      <c r="VA228" s="48"/>
      <c r="VB228" s="48"/>
      <c r="VC228" s="48"/>
      <c r="VD228" s="48"/>
      <c r="VE228" s="48"/>
      <c r="VF228" s="48"/>
      <c r="VG228" s="48"/>
      <c r="VH228" s="48"/>
      <c r="VI228" s="48"/>
      <c r="VJ228" s="48"/>
      <c r="VK228" s="48"/>
      <c r="VL228" s="48"/>
      <c r="VM228" s="48"/>
      <c r="VN228" s="48"/>
      <c r="VO228" s="48"/>
      <c r="VP228" s="48"/>
      <c r="VQ228" s="48"/>
      <c r="VR228" s="48"/>
      <c r="VS228" s="48"/>
      <c r="VT228" s="48"/>
      <c r="VU228" s="48"/>
      <c r="VV228" s="48"/>
      <c r="VW228" s="48"/>
      <c r="VX228" s="48"/>
      <c r="VY228" s="48"/>
      <c r="VZ228" s="48"/>
      <c r="WA228" s="48"/>
      <c r="WB228" s="48"/>
      <c r="WC228" s="48"/>
      <c r="WD228" s="48"/>
      <c r="WE228" s="48"/>
      <c r="WF228" s="48"/>
      <c r="WG228" s="48"/>
      <c r="WH228" s="48"/>
      <c r="WI228" s="48"/>
      <c r="WJ228" s="48"/>
      <c r="WK228" s="48"/>
      <c r="WL228" s="48"/>
      <c r="WM228" s="48"/>
      <c r="WN228" s="48"/>
      <c r="WO228" s="48"/>
      <c r="WP228" s="48"/>
      <c r="WQ228" s="48"/>
      <c r="WR228" s="48"/>
      <c r="WS228" s="48"/>
      <c r="WT228" s="48"/>
      <c r="WU228" s="48"/>
      <c r="WV228" s="48"/>
      <c r="WW228" s="48"/>
      <c r="WX228" s="48"/>
      <c r="WY228" s="48"/>
      <c r="WZ228" s="48"/>
      <c r="XA228" s="48"/>
      <c r="XB228" s="48"/>
      <c r="XC228" s="48"/>
      <c r="XD228" s="48"/>
      <c r="XE228" s="48"/>
      <c r="XF228" s="48"/>
      <c r="XG228" s="48"/>
      <c r="XH228" s="48"/>
      <c r="XI228" s="48"/>
      <c r="XJ228" s="48"/>
      <c r="XK228" s="48"/>
      <c r="XL228" s="48"/>
      <c r="XM228" s="48"/>
      <c r="XN228" s="48"/>
      <c r="XO228" s="48"/>
      <c r="XP228" s="48"/>
      <c r="XQ228" s="48"/>
      <c r="XR228" s="48"/>
      <c r="XS228" s="48"/>
      <c r="XT228" s="48"/>
      <c r="XU228" s="48"/>
      <c r="XV228" s="48"/>
      <c r="XW228" s="48"/>
      <c r="XX228" s="48"/>
      <c r="XY228" s="48"/>
      <c r="XZ228" s="48"/>
      <c r="YA228" s="48"/>
      <c r="YB228" s="48"/>
      <c r="YC228" s="48"/>
      <c r="YD228" s="48"/>
      <c r="YE228" s="48"/>
      <c r="YF228" s="48"/>
      <c r="YG228" s="48"/>
      <c r="YH228" s="48"/>
      <c r="YI228" s="48"/>
      <c r="YJ228" s="48"/>
      <c r="YK228" s="48"/>
      <c r="YL228" s="48"/>
      <c r="YM228" s="48"/>
      <c r="YN228" s="48"/>
      <c r="YO228" s="48"/>
      <c r="YP228" s="48"/>
      <c r="YQ228" s="48"/>
      <c r="YR228" s="48"/>
      <c r="YS228" s="48"/>
      <c r="YT228" s="48"/>
      <c r="YU228" s="48"/>
      <c r="YV228" s="48"/>
      <c r="YW228" s="48"/>
      <c r="YX228" s="48"/>
      <c r="YY228" s="48"/>
      <c r="YZ228" s="48"/>
      <c r="ZA228" s="48"/>
      <c r="ZB228" s="48"/>
      <c r="ZC228" s="48"/>
      <c r="ZD228" s="48"/>
      <c r="ZE228" s="48"/>
      <c r="ZF228" s="48"/>
      <c r="ZG228" s="48"/>
      <c r="ZH228" s="48"/>
      <c r="ZI228" s="48"/>
      <c r="ZJ228" s="48"/>
      <c r="ZK228" s="48"/>
      <c r="ZL228" s="48"/>
      <c r="ZM228" s="48"/>
      <c r="ZN228" s="48"/>
      <c r="ZO228" s="48"/>
      <c r="ZP228" s="48"/>
      <c r="ZQ228" s="48"/>
      <c r="ZR228" s="48"/>
      <c r="ZS228" s="48"/>
      <c r="ZT228" s="48"/>
      <c r="ZU228" s="48"/>
      <c r="ZV228" s="48"/>
      <c r="ZW228" s="48"/>
      <c r="ZX228" s="48"/>
      <c r="ZY228" s="48"/>
      <c r="ZZ228" s="48"/>
      <c r="AAA228" s="48"/>
      <c r="AAB228" s="48"/>
      <c r="AAC228" s="48"/>
      <c r="AAD228" s="48"/>
      <c r="AAE228" s="48"/>
      <c r="AAF228" s="48"/>
      <c r="AAG228" s="48"/>
      <c r="AAH228" s="48"/>
      <c r="AAI228" s="48"/>
      <c r="AAJ228" s="48"/>
      <c r="AAK228" s="48"/>
      <c r="AAL228" s="48"/>
      <c r="AAM228" s="48"/>
      <c r="AAN228" s="48"/>
      <c r="AAO228" s="48"/>
      <c r="AAP228" s="48"/>
      <c r="AAQ228" s="48"/>
      <c r="AAR228" s="48"/>
      <c r="AAS228" s="48"/>
      <c r="AAT228" s="48"/>
      <c r="AAU228" s="48"/>
      <c r="AAV228" s="48"/>
      <c r="AAW228" s="48"/>
      <c r="AAX228" s="48"/>
      <c r="AAY228" s="48"/>
      <c r="AAZ228" s="48"/>
      <c r="ABA228" s="48"/>
      <c r="ABB228" s="48"/>
      <c r="ABC228" s="48"/>
      <c r="ABD228" s="48"/>
      <c r="ABE228" s="48"/>
      <c r="ABF228" s="48"/>
      <c r="ABG228" s="48"/>
      <c r="ABH228" s="48"/>
      <c r="ABI228" s="48"/>
      <c r="ABJ228" s="48"/>
      <c r="ABK228" s="48"/>
      <c r="ABL228" s="48"/>
      <c r="ABM228" s="48"/>
      <c r="ABN228" s="48"/>
      <c r="ABO228" s="48"/>
      <c r="ABP228" s="48"/>
      <c r="ABQ228" s="48"/>
      <c r="ABR228" s="48"/>
      <c r="ABS228" s="48"/>
      <c r="ABT228" s="48"/>
      <c r="ABU228" s="48"/>
      <c r="ABV228" s="48"/>
      <c r="ABW228" s="48"/>
      <c r="ABX228" s="48"/>
      <c r="ABY228" s="48"/>
      <c r="ABZ228" s="48"/>
      <c r="ACA228" s="48"/>
      <c r="ACB228" s="48"/>
      <c r="ACC228" s="48"/>
      <c r="ACD228" s="48"/>
      <c r="ACE228" s="48"/>
      <c r="ACF228" s="48"/>
      <c r="ACG228" s="48"/>
      <c r="ACH228" s="48"/>
      <c r="ACI228" s="48"/>
      <c r="ACJ228" s="48"/>
      <c r="ACK228" s="48"/>
      <c r="ACL228" s="48"/>
      <c r="ACM228" s="48"/>
      <c r="ACN228" s="48"/>
      <c r="ACO228" s="48"/>
      <c r="ACP228" s="48"/>
      <c r="ACQ228" s="48"/>
      <c r="ACR228" s="48"/>
      <c r="ACS228" s="48"/>
      <c r="ACT228" s="48"/>
      <c r="ACU228" s="48"/>
      <c r="ACV228" s="48"/>
      <c r="ACW228" s="48"/>
      <c r="ACX228" s="48"/>
      <c r="ACY228" s="48"/>
      <c r="ACZ228" s="48"/>
      <c r="ADA228" s="48"/>
      <c r="ADB228" s="48"/>
      <c r="ADC228" s="48"/>
      <c r="ADD228" s="48"/>
      <c r="ADE228" s="48"/>
      <c r="ADF228" s="48"/>
      <c r="ADG228" s="48"/>
      <c r="ADH228" s="48"/>
      <c r="ADI228" s="48"/>
      <c r="ADJ228" s="48"/>
      <c r="ADK228" s="48"/>
      <c r="ADL228" s="48"/>
      <c r="ADM228" s="48"/>
      <c r="ADN228" s="48"/>
      <c r="ADO228" s="48"/>
      <c r="ADP228" s="48"/>
      <c r="ADQ228" s="48"/>
      <c r="ADR228" s="48"/>
      <c r="ADS228" s="48"/>
      <c r="ADT228" s="48"/>
      <c r="ADU228" s="48"/>
      <c r="ADV228" s="48"/>
      <c r="ADW228" s="48"/>
      <c r="ADX228" s="48"/>
      <c r="ADY228" s="48"/>
      <c r="ADZ228" s="48"/>
      <c r="AEA228" s="48"/>
      <c r="AEB228" s="48"/>
      <c r="AEC228" s="48"/>
      <c r="AED228" s="48"/>
      <c r="AEE228" s="48"/>
      <c r="AEF228" s="48"/>
      <c r="AEG228" s="48"/>
      <c r="AEH228" s="48"/>
      <c r="AEI228" s="48"/>
      <c r="AEJ228" s="48"/>
      <c r="AEK228" s="48"/>
      <c r="AEL228" s="48"/>
      <c r="AEM228" s="48"/>
      <c r="AEN228" s="48"/>
      <c r="AEO228" s="48"/>
      <c r="AEP228" s="48"/>
      <c r="AEQ228" s="48"/>
      <c r="AER228" s="48"/>
      <c r="AES228" s="48"/>
      <c r="AET228" s="48"/>
      <c r="AEU228" s="48"/>
      <c r="AEV228" s="48"/>
      <c r="AEW228" s="48"/>
      <c r="AEX228" s="48"/>
      <c r="AEY228" s="48"/>
      <c r="AEZ228" s="48"/>
      <c r="AFA228" s="48"/>
      <c r="AFB228" s="48"/>
      <c r="AFC228" s="48"/>
      <c r="AFD228" s="48"/>
      <c r="AFE228" s="48"/>
      <c r="AFF228" s="48"/>
      <c r="AFG228" s="48"/>
      <c r="AFH228" s="48"/>
      <c r="AFI228" s="48"/>
      <c r="AFJ228" s="48"/>
      <c r="AFK228" s="48"/>
      <c r="AFL228" s="48"/>
      <c r="AFM228" s="48"/>
      <c r="AFN228" s="48"/>
      <c r="AFO228" s="48"/>
      <c r="AFP228" s="48"/>
      <c r="AFQ228" s="48"/>
      <c r="AFR228" s="48"/>
      <c r="AFS228" s="48"/>
      <c r="AFT228" s="48"/>
      <c r="AFU228" s="48"/>
      <c r="AFV228" s="48"/>
      <c r="AFW228" s="48"/>
      <c r="AFX228" s="48"/>
      <c r="AFY228" s="48"/>
      <c r="AFZ228" s="48"/>
      <c r="AGA228" s="48"/>
      <c r="AGB228" s="48"/>
      <c r="AGC228" s="48"/>
      <c r="AGD228" s="48"/>
      <c r="AGE228" s="48"/>
      <c r="AGF228" s="48"/>
      <c r="AGG228" s="48"/>
      <c r="AGH228" s="48"/>
      <c r="AGI228" s="48"/>
      <c r="AGJ228" s="48"/>
      <c r="AGK228" s="48"/>
      <c r="AGL228" s="48"/>
      <c r="AGM228" s="48"/>
      <c r="AGN228" s="48"/>
      <c r="AGO228" s="48"/>
      <c r="AGP228" s="48"/>
      <c r="AGQ228" s="48"/>
      <c r="AGR228" s="48"/>
      <c r="AGS228" s="48"/>
      <c r="AGT228" s="48"/>
      <c r="AGU228" s="48"/>
      <c r="AGV228" s="48"/>
      <c r="AGW228" s="48"/>
      <c r="AGX228" s="48"/>
      <c r="AGY228" s="48"/>
      <c r="AGZ228" s="48"/>
      <c r="AHA228" s="48"/>
      <c r="AHB228" s="48"/>
      <c r="AHC228" s="48"/>
      <c r="AHD228" s="48"/>
      <c r="AHE228" s="48"/>
      <c r="AHF228" s="48"/>
      <c r="AHG228" s="48"/>
      <c r="AHH228" s="48"/>
      <c r="AHI228" s="48"/>
      <c r="AHJ228" s="48"/>
      <c r="AHK228" s="48"/>
      <c r="AHL228" s="48"/>
      <c r="AHM228" s="48"/>
      <c r="AHN228" s="48"/>
      <c r="AHO228" s="48"/>
      <c r="AHP228" s="48"/>
      <c r="AHQ228" s="48"/>
      <c r="AHR228" s="48"/>
      <c r="AHS228" s="48"/>
      <c r="AHT228" s="48"/>
      <c r="AHU228" s="48"/>
      <c r="AHV228" s="48"/>
      <c r="AHW228" s="48"/>
      <c r="AHX228" s="48"/>
      <c r="AHY228" s="48"/>
      <c r="AHZ228" s="48"/>
      <c r="AIA228" s="48"/>
      <c r="AIB228" s="48"/>
      <c r="AIC228" s="48"/>
      <c r="AID228" s="48"/>
      <c r="AIE228" s="48"/>
      <c r="AIF228" s="48"/>
      <c r="AIG228" s="48"/>
      <c r="AIH228" s="48"/>
      <c r="AII228" s="48"/>
      <c r="AIJ228" s="48"/>
      <c r="AIK228" s="48"/>
      <c r="AIL228" s="48"/>
      <c r="AIM228" s="48"/>
      <c r="AIN228" s="48"/>
      <c r="AIO228" s="48"/>
      <c r="AIP228" s="48"/>
      <c r="AIQ228" s="48"/>
      <c r="AIR228" s="48"/>
      <c r="AIS228" s="48"/>
      <c r="AIT228" s="48"/>
      <c r="AIU228" s="48"/>
      <c r="AIV228" s="48"/>
      <c r="AIW228" s="48"/>
      <c r="AIX228" s="48"/>
      <c r="AIY228" s="48"/>
      <c r="AIZ228" s="48"/>
      <c r="AJA228" s="48"/>
      <c r="AJB228" s="48"/>
      <c r="AJC228" s="48"/>
      <c r="AJD228" s="48"/>
      <c r="AJE228" s="48"/>
      <c r="AJF228" s="48"/>
      <c r="AJG228" s="48"/>
      <c r="AJH228" s="48"/>
      <c r="AJI228" s="48"/>
      <c r="AJJ228" s="48"/>
      <c r="AJK228" s="48"/>
      <c r="AJL228" s="48"/>
      <c r="AJM228" s="48"/>
      <c r="AJN228" s="48"/>
      <c r="AJO228" s="48"/>
      <c r="AJP228" s="48"/>
      <c r="AJQ228" s="48"/>
      <c r="AJR228" s="48"/>
      <c r="AJS228" s="48"/>
      <c r="AJT228" s="48"/>
      <c r="AJU228" s="48"/>
      <c r="AJV228" s="48"/>
      <c r="AJW228" s="48"/>
      <c r="AJX228" s="48"/>
      <c r="AJY228" s="48"/>
      <c r="AJZ228" s="48"/>
      <c r="AKA228" s="48"/>
      <c r="AKB228" s="48"/>
      <c r="AKC228" s="48"/>
      <c r="AKD228" s="48"/>
      <c r="AKE228" s="48"/>
      <c r="AKF228" s="48"/>
      <c r="AKG228" s="48"/>
      <c r="AKH228" s="48"/>
      <c r="AKI228" s="48"/>
      <c r="AKJ228" s="48"/>
      <c r="AKK228" s="48"/>
      <c r="AKL228" s="48"/>
      <c r="AKM228" s="48"/>
      <c r="AKN228" s="48"/>
      <c r="AKO228" s="48"/>
      <c r="AKP228" s="48"/>
      <c r="AKQ228" s="48"/>
      <c r="AKR228" s="48"/>
      <c r="AKS228" s="48"/>
      <c r="AKT228" s="48"/>
      <c r="AKU228" s="48"/>
      <c r="AKV228" s="48"/>
      <c r="AKW228" s="48"/>
      <c r="AKX228" s="48"/>
      <c r="AKY228" s="48"/>
      <c r="AKZ228" s="48"/>
      <c r="ALA228" s="48"/>
      <c r="ALB228" s="48"/>
      <c r="ALC228" s="48"/>
      <c r="ALD228" s="48"/>
      <c r="ALE228" s="48"/>
      <c r="ALF228" s="48"/>
      <c r="ALG228" s="48"/>
      <c r="ALH228" s="48"/>
      <c r="ALI228" s="48"/>
      <c r="ALJ228" s="48"/>
      <c r="ALK228" s="48"/>
      <c r="ALL228" s="48"/>
      <c r="ALM228" s="48"/>
      <c r="ALN228" s="48"/>
      <c r="ALO228" s="48"/>
      <c r="ALP228" s="48"/>
      <c r="ALQ228" s="48"/>
      <c r="ALR228" s="48"/>
      <c r="ALS228" s="48"/>
      <c r="ALT228" s="48"/>
      <c r="ALU228" s="48"/>
      <c r="ALV228" s="48"/>
      <c r="ALW228" s="48"/>
      <c r="ALX228" s="48"/>
      <c r="ALY228" s="48"/>
      <c r="ALZ228" s="48"/>
      <c r="AMA228" s="48"/>
      <c r="AMB228" s="48"/>
      <c r="AMC228" s="48"/>
      <c r="AMD228" s="48"/>
      <c r="AME228" s="48"/>
      <c r="AMF228" s="48"/>
      <c r="AMG228" s="48"/>
      <c r="AMH228" s="48"/>
      <c r="AMI228" s="48"/>
      <c r="AMJ228" s="48"/>
      <c r="AMK228" s="48"/>
    </row>
    <row r="229" spans="1:1025" s="80" customFormat="1" x14ac:dyDescent="0.25">
      <c r="A229" s="91" t="s">
        <v>532</v>
      </c>
      <c r="B229" s="54" t="s">
        <v>138</v>
      </c>
      <c r="C229" s="55">
        <v>28.25</v>
      </c>
      <c r="D229" s="55">
        <v>12.25</v>
      </c>
      <c r="E229" s="55">
        <v>19.75</v>
      </c>
      <c r="F229" s="55">
        <v>305</v>
      </c>
      <c r="G229" s="55">
        <v>39.362499999999997</v>
      </c>
      <c r="H229" s="55">
        <v>55.4375</v>
      </c>
      <c r="I229" s="55">
        <v>2.7749999999999999</v>
      </c>
      <c r="J229" s="55">
        <v>11.3375</v>
      </c>
      <c r="K229" s="90" t="s">
        <v>304</v>
      </c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8"/>
      <c r="DD229" s="48"/>
      <c r="DE229" s="48"/>
      <c r="DF229" s="48"/>
      <c r="DG229" s="48"/>
      <c r="DH229" s="48"/>
      <c r="DI229" s="48"/>
      <c r="DJ229" s="48"/>
      <c r="DK229" s="48"/>
      <c r="DL229" s="48"/>
      <c r="DM229" s="48"/>
      <c r="DN229" s="48"/>
      <c r="DO229" s="48"/>
      <c r="DP229" s="48"/>
      <c r="DQ229" s="48"/>
      <c r="DR229" s="48"/>
      <c r="DS229" s="48"/>
      <c r="DT229" s="48"/>
      <c r="DU229" s="48"/>
      <c r="DV229" s="48"/>
      <c r="DW229" s="48"/>
      <c r="DX229" s="48"/>
      <c r="DY229" s="48"/>
      <c r="DZ229" s="48"/>
      <c r="EA229" s="48"/>
      <c r="EB229" s="48"/>
      <c r="EC229" s="48"/>
      <c r="ED229" s="48"/>
      <c r="EE229" s="48"/>
      <c r="EF229" s="48"/>
      <c r="EG229" s="48"/>
      <c r="EH229" s="48"/>
      <c r="EI229" s="48"/>
      <c r="EJ229" s="48"/>
      <c r="EK229" s="48"/>
      <c r="EL229" s="48"/>
      <c r="EM229" s="48"/>
      <c r="EN229" s="48"/>
      <c r="EO229" s="48"/>
      <c r="EP229" s="48"/>
      <c r="EQ229" s="48"/>
      <c r="ER229" s="48"/>
      <c r="ES229" s="48"/>
      <c r="ET229" s="48"/>
      <c r="EU229" s="48"/>
      <c r="EV229" s="48"/>
      <c r="EW229" s="48"/>
      <c r="EX229" s="48"/>
      <c r="EY229" s="48"/>
      <c r="EZ229" s="48"/>
      <c r="FA229" s="48"/>
      <c r="FB229" s="48"/>
      <c r="FC229" s="48"/>
      <c r="FD229" s="48"/>
      <c r="FE229" s="48"/>
      <c r="FF229" s="48"/>
      <c r="FG229" s="48"/>
      <c r="FH229" s="48"/>
      <c r="FI229" s="48"/>
      <c r="FJ229" s="48"/>
      <c r="FK229" s="48"/>
      <c r="FL229" s="48"/>
      <c r="FM229" s="48"/>
      <c r="FN229" s="48"/>
      <c r="FO229" s="48"/>
      <c r="FP229" s="48"/>
      <c r="FQ229" s="48"/>
      <c r="FR229" s="48"/>
      <c r="FS229" s="48"/>
      <c r="FT229" s="48"/>
      <c r="FU229" s="48"/>
      <c r="FV229" s="48"/>
      <c r="FW229" s="48"/>
      <c r="FX229" s="48"/>
      <c r="FY229" s="48"/>
      <c r="FZ229" s="48"/>
      <c r="GA229" s="48"/>
      <c r="GB229" s="48"/>
      <c r="GC229" s="48"/>
      <c r="GD229" s="48"/>
      <c r="GE229" s="48"/>
      <c r="GF229" s="48"/>
      <c r="GG229" s="48"/>
      <c r="GH229" s="48"/>
      <c r="GI229" s="48"/>
      <c r="GJ229" s="48"/>
      <c r="GK229" s="48"/>
      <c r="GL229" s="48"/>
      <c r="GM229" s="48"/>
      <c r="GN229" s="48"/>
      <c r="GO229" s="48"/>
      <c r="GP229" s="48"/>
      <c r="GQ229" s="48"/>
      <c r="GR229" s="48"/>
      <c r="GS229" s="48"/>
      <c r="GT229" s="48"/>
      <c r="GU229" s="48"/>
      <c r="GV229" s="48"/>
      <c r="GW229" s="48"/>
      <c r="GX229" s="48"/>
      <c r="GY229" s="48"/>
      <c r="GZ229" s="48"/>
      <c r="HA229" s="48"/>
      <c r="HB229" s="48"/>
      <c r="HC229" s="48"/>
      <c r="HD229" s="48"/>
      <c r="HE229" s="48"/>
      <c r="HF229" s="48"/>
      <c r="HG229" s="48"/>
      <c r="HH229" s="48"/>
      <c r="HI229" s="48"/>
      <c r="HJ229" s="48"/>
      <c r="HK229" s="48"/>
      <c r="HL229" s="48"/>
      <c r="HM229" s="48"/>
      <c r="HN229" s="48"/>
      <c r="HO229" s="48"/>
      <c r="HP229" s="48"/>
      <c r="HQ229" s="48"/>
      <c r="HR229" s="48"/>
      <c r="HS229" s="48"/>
      <c r="HT229" s="48"/>
      <c r="HU229" s="48"/>
      <c r="HV229" s="48"/>
      <c r="HW229" s="48"/>
      <c r="HX229" s="48"/>
      <c r="HY229" s="48"/>
      <c r="HZ229" s="48"/>
      <c r="IA229" s="48"/>
      <c r="IB229" s="48"/>
      <c r="IC229" s="48"/>
      <c r="ID229" s="48"/>
      <c r="IE229" s="48"/>
      <c r="IF229" s="48"/>
      <c r="IG229" s="48"/>
      <c r="IH229" s="48"/>
      <c r="II229" s="48"/>
      <c r="IJ229" s="48"/>
      <c r="IK229" s="48"/>
      <c r="IL229" s="48"/>
      <c r="IM229" s="48"/>
      <c r="IN229" s="48"/>
      <c r="IO229" s="48"/>
      <c r="IP229" s="48"/>
      <c r="IQ229" s="48"/>
      <c r="IR229" s="48"/>
      <c r="IS229" s="48"/>
      <c r="IT229" s="48"/>
      <c r="IU229" s="48"/>
      <c r="IV229" s="48"/>
      <c r="IW229" s="48"/>
      <c r="IX229" s="48"/>
      <c r="IY229" s="48"/>
      <c r="IZ229" s="48"/>
      <c r="JA229" s="48"/>
      <c r="JB229" s="48"/>
      <c r="JC229" s="48"/>
      <c r="JD229" s="48"/>
      <c r="JE229" s="48"/>
      <c r="JF229" s="48"/>
      <c r="JG229" s="48"/>
      <c r="JH229" s="48"/>
      <c r="JI229" s="48"/>
      <c r="JJ229" s="48"/>
      <c r="JK229" s="48"/>
      <c r="JL229" s="48"/>
      <c r="JM229" s="48"/>
      <c r="JN229" s="48"/>
      <c r="JO229" s="48"/>
      <c r="JP229" s="48"/>
      <c r="JQ229" s="48"/>
      <c r="JR229" s="48"/>
      <c r="JS229" s="48"/>
      <c r="JT229" s="48"/>
      <c r="JU229" s="48"/>
      <c r="JV229" s="48"/>
      <c r="JW229" s="48"/>
      <c r="JX229" s="48"/>
      <c r="JY229" s="48"/>
      <c r="JZ229" s="48"/>
      <c r="KA229" s="48"/>
      <c r="KB229" s="48"/>
      <c r="KC229" s="48"/>
      <c r="KD229" s="48"/>
      <c r="KE229" s="48"/>
      <c r="KF229" s="48"/>
      <c r="KG229" s="48"/>
      <c r="KH229" s="48"/>
      <c r="KI229" s="48"/>
      <c r="KJ229" s="48"/>
      <c r="KK229" s="48"/>
      <c r="KL229" s="48"/>
      <c r="KM229" s="48"/>
      <c r="KN229" s="48"/>
      <c r="KO229" s="48"/>
      <c r="KP229" s="48"/>
      <c r="KQ229" s="48"/>
      <c r="KR229" s="48"/>
      <c r="KS229" s="48"/>
      <c r="KT229" s="48"/>
      <c r="KU229" s="48"/>
      <c r="KV229" s="48"/>
      <c r="KW229" s="48"/>
      <c r="KX229" s="48"/>
      <c r="KY229" s="48"/>
      <c r="KZ229" s="48"/>
      <c r="LA229" s="48"/>
      <c r="LB229" s="48"/>
      <c r="LC229" s="48"/>
      <c r="LD229" s="48"/>
      <c r="LE229" s="48"/>
      <c r="LF229" s="48"/>
      <c r="LG229" s="48"/>
      <c r="LH229" s="48"/>
      <c r="LI229" s="48"/>
      <c r="LJ229" s="48"/>
      <c r="LK229" s="48"/>
      <c r="LL229" s="48"/>
      <c r="LM229" s="48"/>
      <c r="LN229" s="48"/>
      <c r="LO229" s="48"/>
      <c r="LP229" s="48"/>
      <c r="LQ229" s="48"/>
      <c r="LR229" s="48"/>
      <c r="LS229" s="48"/>
      <c r="LT229" s="48"/>
      <c r="LU229" s="48"/>
      <c r="LV229" s="48"/>
      <c r="LW229" s="48"/>
      <c r="LX229" s="48"/>
      <c r="LY229" s="48"/>
      <c r="LZ229" s="48"/>
      <c r="MA229" s="48"/>
      <c r="MB229" s="48"/>
      <c r="MC229" s="48"/>
      <c r="MD229" s="48"/>
      <c r="ME229" s="48"/>
      <c r="MF229" s="48"/>
      <c r="MG229" s="48"/>
      <c r="MH229" s="48"/>
      <c r="MI229" s="48"/>
      <c r="MJ229" s="48"/>
      <c r="MK229" s="48"/>
      <c r="ML229" s="48"/>
      <c r="MM229" s="48"/>
      <c r="MN229" s="48"/>
      <c r="MO229" s="48"/>
      <c r="MP229" s="48"/>
      <c r="MQ229" s="48"/>
      <c r="MR229" s="48"/>
      <c r="MS229" s="48"/>
      <c r="MT229" s="48"/>
      <c r="MU229" s="48"/>
      <c r="MV229" s="48"/>
      <c r="MW229" s="48"/>
      <c r="MX229" s="48"/>
      <c r="MY229" s="48"/>
      <c r="MZ229" s="48"/>
      <c r="NA229" s="48"/>
      <c r="NB229" s="48"/>
      <c r="NC229" s="48"/>
      <c r="ND229" s="48"/>
      <c r="NE229" s="48"/>
      <c r="NF229" s="48"/>
      <c r="NG229" s="48"/>
      <c r="NH229" s="48"/>
      <c r="NI229" s="48"/>
      <c r="NJ229" s="48"/>
      <c r="NK229" s="48"/>
      <c r="NL229" s="48"/>
      <c r="NM229" s="48"/>
      <c r="NN229" s="48"/>
      <c r="NO229" s="48"/>
      <c r="NP229" s="48"/>
      <c r="NQ229" s="48"/>
      <c r="NR229" s="48"/>
      <c r="NS229" s="48"/>
      <c r="NT229" s="48"/>
      <c r="NU229" s="48"/>
      <c r="NV229" s="48"/>
      <c r="NW229" s="48"/>
      <c r="NX229" s="48"/>
      <c r="NY229" s="48"/>
      <c r="NZ229" s="48"/>
      <c r="OA229" s="48"/>
      <c r="OB229" s="48"/>
      <c r="OC229" s="48"/>
      <c r="OD229" s="48"/>
      <c r="OE229" s="48"/>
      <c r="OF229" s="48"/>
      <c r="OG229" s="48"/>
      <c r="OH229" s="48"/>
      <c r="OI229" s="48"/>
      <c r="OJ229" s="48"/>
      <c r="OK229" s="48"/>
      <c r="OL229" s="48"/>
      <c r="OM229" s="48"/>
      <c r="ON229" s="48"/>
      <c r="OO229" s="48"/>
      <c r="OP229" s="48"/>
      <c r="OQ229" s="48"/>
      <c r="OR229" s="48"/>
      <c r="OS229" s="48"/>
      <c r="OT229" s="48"/>
      <c r="OU229" s="48"/>
      <c r="OV229" s="48"/>
      <c r="OW229" s="48"/>
      <c r="OX229" s="48"/>
      <c r="OY229" s="48"/>
      <c r="OZ229" s="48"/>
      <c r="PA229" s="48"/>
      <c r="PB229" s="48"/>
      <c r="PC229" s="48"/>
      <c r="PD229" s="48"/>
      <c r="PE229" s="48"/>
      <c r="PF229" s="48"/>
      <c r="PG229" s="48"/>
      <c r="PH229" s="48"/>
      <c r="PI229" s="48"/>
      <c r="PJ229" s="48"/>
      <c r="PK229" s="48"/>
      <c r="PL229" s="48"/>
      <c r="PM229" s="48"/>
      <c r="PN229" s="48"/>
      <c r="PO229" s="48"/>
      <c r="PP229" s="48"/>
      <c r="PQ229" s="48"/>
      <c r="PR229" s="48"/>
      <c r="PS229" s="48"/>
      <c r="PT229" s="48"/>
      <c r="PU229" s="48"/>
      <c r="PV229" s="48"/>
      <c r="PW229" s="48"/>
      <c r="PX229" s="48"/>
      <c r="PY229" s="48"/>
      <c r="PZ229" s="48"/>
      <c r="QA229" s="48"/>
      <c r="QB229" s="48"/>
      <c r="QC229" s="48"/>
      <c r="QD229" s="48"/>
      <c r="QE229" s="48"/>
      <c r="QF229" s="48"/>
      <c r="QG229" s="48"/>
      <c r="QH229" s="48"/>
      <c r="QI229" s="48"/>
      <c r="QJ229" s="48"/>
      <c r="QK229" s="48"/>
      <c r="QL229" s="48"/>
      <c r="QM229" s="48"/>
      <c r="QN229" s="48"/>
      <c r="QO229" s="48"/>
      <c r="QP229" s="48"/>
      <c r="QQ229" s="48"/>
      <c r="QR229" s="48"/>
      <c r="QS229" s="48"/>
      <c r="QT229" s="48"/>
      <c r="QU229" s="48"/>
      <c r="QV229" s="48"/>
      <c r="QW229" s="48"/>
      <c r="QX229" s="48"/>
      <c r="QY229" s="48"/>
      <c r="QZ229" s="48"/>
      <c r="RA229" s="48"/>
      <c r="RB229" s="48"/>
      <c r="RC229" s="48"/>
      <c r="RD229" s="48"/>
      <c r="RE229" s="48"/>
      <c r="RF229" s="48"/>
      <c r="RG229" s="48"/>
      <c r="RH229" s="48"/>
      <c r="RI229" s="48"/>
      <c r="RJ229" s="48"/>
      <c r="RK229" s="48"/>
      <c r="RL229" s="48"/>
      <c r="RM229" s="48"/>
      <c r="RN229" s="48"/>
      <c r="RO229" s="48"/>
      <c r="RP229" s="48"/>
      <c r="RQ229" s="48"/>
      <c r="RR229" s="48"/>
      <c r="RS229" s="48"/>
      <c r="RT229" s="48"/>
      <c r="RU229" s="48"/>
      <c r="RV229" s="48"/>
      <c r="RW229" s="48"/>
      <c r="RX229" s="48"/>
      <c r="RY229" s="48"/>
      <c r="RZ229" s="48"/>
      <c r="SA229" s="48"/>
      <c r="SB229" s="48"/>
      <c r="SC229" s="48"/>
      <c r="SD229" s="48"/>
      <c r="SE229" s="48"/>
      <c r="SF229" s="48"/>
      <c r="SG229" s="48"/>
      <c r="SH229" s="48"/>
      <c r="SI229" s="48"/>
      <c r="SJ229" s="48"/>
      <c r="SK229" s="48"/>
      <c r="SL229" s="48"/>
      <c r="SM229" s="48"/>
      <c r="SN229" s="48"/>
      <c r="SO229" s="48"/>
      <c r="SP229" s="48"/>
      <c r="SQ229" s="48"/>
      <c r="SR229" s="48"/>
      <c r="SS229" s="48"/>
      <c r="ST229" s="48"/>
      <c r="SU229" s="48"/>
      <c r="SV229" s="48"/>
      <c r="SW229" s="48"/>
      <c r="SX229" s="48"/>
      <c r="SY229" s="48"/>
      <c r="SZ229" s="48"/>
      <c r="TA229" s="48"/>
      <c r="TB229" s="48"/>
      <c r="TC229" s="48"/>
      <c r="TD229" s="48"/>
      <c r="TE229" s="48"/>
      <c r="TF229" s="48"/>
      <c r="TG229" s="48"/>
      <c r="TH229" s="48"/>
      <c r="TI229" s="48"/>
      <c r="TJ229" s="48"/>
      <c r="TK229" s="48"/>
      <c r="TL229" s="48"/>
      <c r="TM229" s="48"/>
      <c r="TN229" s="48"/>
      <c r="TO229" s="48"/>
      <c r="TP229" s="48"/>
      <c r="TQ229" s="48"/>
      <c r="TR229" s="48"/>
      <c r="TS229" s="48"/>
      <c r="TT229" s="48"/>
      <c r="TU229" s="48"/>
      <c r="TV229" s="48"/>
      <c r="TW229" s="48"/>
      <c r="TX229" s="48"/>
      <c r="TY229" s="48"/>
      <c r="TZ229" s="48"/>
      <c r="UA229" s="48"/>
      <c r="UB229" s="48"/>
      <c r="UC229" s="48"/>
      <c r="UD229" s="48"/>
      <c r="UE229" s="48"/>
      <c r="UF229" s="48"/>
      <c r="UG229" s="48"/>
      <c r="UH229" s="48"/>
      <c r="UI229" s="48"/>
      <c r="UJ229" s="48"/>
      <c r="UK229" s="48"/>
      <c r="UL229" s="48"/>
      <c r="UM229" s="48"/>
      <c r="UN229" s="48"/>
      <c r="UO229" s="48"/>
      <c r="UP229" s="48"/>
      <c r="UQ229" s="48"/>
      <c r="UR229" s="48"/>
      <c r="US229" s="48"/>
      <c r="UT229" s="48"/>
      <c r="UU229" s="48"/>
      <c r="UV229" s="48"/>
      <c r="UW229" s="48"/>
      <c r="UX229" s="48"/>
      <c r="UY229" s="48"/>
      <c r="UZ229" s="48"/>
      <c r="VA229" s="48"/>
      <c r="VB229" s="48"/>
      <c r="VC229" s="48"/>
      <c r="VD229" s="48"/>
      <c r="VE229" s="48"/>
      <c r="VF229" s="48"/>
      <c r="VG229" s="48"/>
      <c r="VH229" s="48"/>
      <c r="VI229" s="48"/>
      <c r="VJ229" s="48"/>
      <c r="VK229" s="48"/>
      <c r="VL229" s="48"/>
      <c r="VM229" s="48"/>
      <c r="VN229" s="48"/>
      <c r="VO229" s="48"/>
      <c r="VP229" s="48"/>
      <c r="VQ229" s="48"/>
      <c r="VR229" s="48"/>
      <c r="VS229" s="48"/>
      <c r="VT229" s="48"/>
      <c r="VU229" s="48"/>
      <c r="VV229" s="48"/>
      <c r="VW229" s="48"/>
      <c r="VX229" s="48"/>
      <c r="VY229" s="48"/>
      <c r="VZ229" s="48"/>
      <c r="WA229" s="48"/>
      <c r="WB229" s="48"/>
      <c r="WC229" s="48"/>
      <c r="WD229" s="48"/>
      <c r="WE229" s="48"/>
      <c r="WF229" s="48"/>
      <c r="WG229" s="48"/>
      <c r="WH229" s="48"/>
      <c r="WI229" s="48"/>
      <c r="WJ229" s="48"/>
      <c r="WK229" s="48"/>
      <c r="WL229" s="48"/>
      <c r="WM229" s="48"/>
      <c r="WN229" s="48"/>
      <c r="WO229" s="48"/>
      <c r="WP229" s="48"/>
      <c r="WQ229" s="48"/>
      <c r="WR229" s="48"/>
      <c r="WS229" s="48"/>
      <c r="WT229" s="48"/>
      <c r="WU229" s="48"/>
      <c r="WV229" s="48"/>
      <c r="WW229" s="48"/>
      <c r="WX229" s="48"/>
      <c r="WY229" s="48"/>
      <c r="WZ229" s="48"/>
      <c r="XA229" s="48"/>
      <c r="XB229" s="48"/>
      <c r="XC229" s="48"/>
      <c r="XD229" s="48"/>
      <c r="XE229" s="48"/>
      <c r="XF229" s="48"/>
      <c r="XG229" s="48"/>
      <c r="XH229" s="48"/>
      <c r="XI229" s="48"/>
      <c r="XJ229" s="48"/>
      <c r="XK229" s="48"/>
      <c r="XL229" s="48"/>
      <c r="XM229" s="48"/>
      <c r="XN229" s="48"/>
      <c r="XO229" s="48"/>
      <c r="XP229" s="48"/>
      <c r="XQ229" s="48"/>
      <c r="XR229" s="48"/>
      <c r="XS229" s="48"/>
      <c r="XT229" s="48"/>
      <c r="XU229" s="48"/>
      <c r="XV229" s="48"/>
      <c r="XW229" s="48"/>
      <c r="XX229" s="48"/>
      <c r="XY229" s="48"/>
      <c r="XZ229" s="48"/>
      <c r="YA229" s="48"/>
      <c r="YB229" s="48"/>
      <c r="YC229" s="48"/>
      <c r="YD229" s="48"/>
      <c r="YE229" s="48"/>
      <c r="YF229" s="48"/>
      <c r="YG229" s="48"/>
      <c r="YH229" s="48"/>
      <c r="YI229" s="48"/>
      <c r="YJ229" s="48"/>
      <c r="YK229" s="48"/>
      <c r="YL229" s="48"/>
      <c r="YM229" s="48"/>
      <c r="YN229" s="48"/>
      <c r="YO229" s="48"/>
      <c r="YP229" s="48"/>
      <c r="YQ229" s="48"/>
      <c r="YR229" s="48"/>
      <c r="YS229" s="48"/>
      <c r="YT229" s="48"/>
      <c r="YU229" s="48"/>
      <c r="YV229" s="48"/>
      <c r="YW229" s="48"/>
      <c r="YX229" s="48"/>
      <c r="YY229" s="48"/>
      <c r="YZ229" s="48"/>
      <c r="ZA229" s="48"/>
      <c r="ZB229" s="48"/>
      <c r="ZC229" s="48"/>
      <c r="ZD229" s="48"/>
      <c r="ZE229" s="48"/>
      <c r="ZF229" s="48"/>
      <c r="ZG229" s="48"/>
      <c r="ZH229" s="48"/>
      <c r="ZI229" s="48"/>
      <c r="ZJ229" s="48"/>
      <c r="ZK229" s="48"/>
      <c r="ZL229" s="48"/>
      <c r="ZM229" s="48"/>
      <c r="ZN229" s="48"/>
      <c r="ZO229" s="48"/>
      <c r="ZP229" s="48"/>
      <c r="ZQ229" s="48"/>
      <c r="ZR229" s="48"/>
      <c r="ZS229" s="48"/>
      <c r="ZT229" s="48"/>
      <c r="ZU229" s="48"/>
      <c r="ZV229" s="48"/>
      <c r="ZW229" s="48"/>
      <c r="ZX229" s="48"/>
      <c r="ZY229" s="48"/>
      <c r="ZZ229" s="48"/>
      <c r="AAA229" s="48"/>
      <c r="AAB229" s="48"/>
      <c r="AAC229" s="48"/>
      <c r="AAD229" s="48"/>
      <c r="AAE229" s="48"/>
      <c r="AAF229" s="48"/>
      <c r="AAG229" s="48"/>
      <c r="AAH229" s="48"/>
      <c r="AAI229" s="48"/>
      <c r="AAJ229" s="48"/>
      <c r="AAK229" s="48"/>
      <c r="AAL229" s="48"/>
      <c r="AAM229" s="48"/>
      <c r="AAN229" s="48"/>
      <c r="AAO229" s="48"/>
      <c r="AAP229" s="48"/>
      <c r="AAQ229" s="48"/>
      <c r="AAR229" s="48"/>
      <c r="AAS229" s="48"/>
      <c r="AAT229" s="48"/>
      <c r="AAU229" s="48"/>
      <c r="AAV229" s="48"/>
      <c r="AAW229" s="48"/>
      <c r="AAX229" s="48"/>
      <c r="AAY229" s="48"/>
      <c r="AAZ229" s="48"/>
      <c r="ABA229" s="48"/>
      <c r="ABB229" s="48"/>
      <c r="ABC229" s="48"/>
      <c r="ABD229" s="48"/>
      <c r="ABE229" s="48"/>
      <c r="ABF229" s="48"/>
      <c r="ABG229" s="48"/>
      <c r="ABH229" s="48"/>
      <c r="ABI229" s="48"/>
      <c r="ABJ229" s="48"/>
      <c r="ABK229" s="48"/>
      <c r="ABL229" s="48"/>
      <c r="ABM229" s="48"/>
      <c r="ABN229" s="48"/>
      <c r="ABO229" s="48"/>
      <c r="ABP229" s="48"/>
      <c r="ABQ229" s="48"/>
      <c r="ABR229" s="48"/>
      <c r="ABS229" s="48"/>
      <c r="ABT229" s="48"/>
      <c r="ABU229" s="48"/>
      <c r="ABV229" s="48"/>
      <c r="ABW229" s="48"/>
      <c r="ABX229" s="48"/>
      <c r="ABY229" s="48"/>
      <c r="ABZ229" s="48"/>
      <c r="ACA229" s="48"/>
      <c r="ACB229" s="48"/>
      <c r="ACC229" s="48"/>
      <c r="ACD229" s="48"/>
      <c r="ACE229" s="48"/>
      <c r="ACF229" s="48"/>
      <c r="ACG229" s="48"/>
      <c r="ACH229" s="48"/>
      <c r="ACI229" s="48"/>
      <c r="ACJ229" s="48"/>
      <c r="ACK229" s="48"/>
      <c r="ACL229" s="48"/>
      <c r="ACM229" s="48"/>
      <c r="ACN229" s="48"/>
      <c r="ACO229" s="48"/>
      <c r="ACP229" s="48"/>
      <c r="ACQ229" s="48"/>
      <c r="ACR229" s="48"/>
      <c r="ACS229" s="48"/>
      <c r="ACT229" s="48"/>
      <c r="ACU229" s="48"/>
      <c r="ACV229" s="48"/>
      <c r="ACW229" s="48"/>
      <c r="ACX229" s="48"/>
      <c r="ACY229" s="48"/>
      <c r="ACZ229" s="48"/>
      <c r="ADA229" s="48"/>
      <c r="ADB229" s="48"/>
      <c r="ADC229" s="48"/>
      <c r="ADD229" s="48"/>
      <c r="ADE229" s="48"/>
      <c r="ADF229" s="48"/>
      <c r="ADG229" s="48"/>
      <c r="ADH229" s="48"/>
      <c r="ADI229" s="48"/>
      <c r="ADJ229" s="48"/>
      <c r="ADK229" s="48"/>
      <c r="ADL229" s="48"/>
      <c r="ADM229" s="48"/>
      <c r="ADN229" s="48"/>
      <c r="ADO229" s="48"/>
      <c r="ADP229" s="48"/>
      <c r="ADQ229" s="48"/>
      <c r="ADR229" s="48"/>
      <c r="ADS229" s="48"/>
      <c r="ADT229" s="48"/>
      <c r="ADU229" s="48"/>
      <c r="ADV229" s="48"/>
      <c r="ADW229" s="48"/>
      <c r="ADX229" s="48"/>
      <c r="ADY229" s="48"/>
      <c r="ADZ229" s="48"/>
      <c r="AEA229" s="48"/>
      <c r="AEB229" s="48"/>
      <c r="AEC229" s="48"/>
      <c r="AED229" s="48"/>
      <c r="AEE229" s="48"/>
      <c r="AEF229" s="48"/>
      <c r="AEG229" s="48"/>
      <c r="AEH229" s="48"/>
      <c r="AEI229" s="48"/>
      <c r="AEJ229" s="48"/>
      <c r="AEK229" s="48"/>
      <c r="AEL229" s="48"/>
      <c r="AEM229" s="48"/>
      <c r="AEN229" s="48"/>
      <c r="AEO229" s="48"/>
      <c r="AEP229" s="48"/>
      <c r="AEQ229" s="48"/>
      <c r="AER229" s="48"/>
      <c r="AES229" s="48"/>
      <c r="AET229" s="48"/>
      <c r="AEU229" s="48"/>
      <c r="AEV229" s="48"/>
      <c r="AEW229" s="48"/>
      <c r="AEX229" s="48"/>
      <c r="AEY229" s="48"/>
      <c r="AEZ229" s="48"/>
      <c r="AFA229" s="48"/>
      <c r="AFB229" s="48"/>
      <c r="AFC229" s="48"/>
      <c r="AFD229" s="48"/>
      <c r="AFE229" s="48"/>
      <c r="AFF229" s="48"/>
      <c r="AFG229" s="48"/>
      <c r="AFH229" s="48"/>
      <c r="AFI229" s="48"/>
      <c r="AFJ229" s="48"/>
      <c r="AFK229" s="48"/>
      <c r="AFL229" s="48"/>
      <c r="AFM229" s="48"/>
      <c r="AFN229" s="48"/>
      <c r="AFO229" s="48"/>
      <c r="AFP229" s="48"/>
      <c r="AFQ229" s="48"/>
      <c r="AFR229" s="48"/>
      <c r="AFS229" s="48"/>
      <c r="AFT229" s="48"/>
      <c r="AFU229" s="48"/>
      <c r="AFV229" s="48"/>
      <c r="AFW229" s="48"/>
      <c r="AFX229" s="48"/>
      <c r="AFY229" s="48"/>
      <c r="AFZ229" s="48"/>
      <c r="AGA229" s="48"/>
      <c r="AGB229" s="48"/>
      <c r="AGC229" s="48"/>
      <c r="AGD229" s="48"/>
      <c r="AGE229" s="48"/>
      <c r="AGF229" s="48"/>
      <c r="AGG229" s="48"/>
      <c r="AGH229" s="48"/>
      <c r="AGI229" s="48"/>
      <c r="AGJ229" s="48"/>
      <c r="AGK229" s="48"/>
      <c r="AGL229" s="48"/>
      <c r="AGM229" s="48"/>
      <c r="AGN229" s="48"/>
      <c r="AGO229" s="48"/>
      <c r="AGP229" s="48"/>
      <c r="AGQ229" s="48"/>
      <c r="AGR229" s="48"/>
      <c r="AGS229" s="48"/>
      <c r="AGT229" s="48"/>
      <c r="AGU229" s="48"/>
      <c r="AGV229" s="48"/>
      <c r="AGW229" s="48"/>
      <c r="AGX229" s="48"/>
      <c r="AGY229" s="48"/>
      <c r="AGZ229" s="48"/>
      <c r="AHA229" s="48"/>
      <c r="AHB229" s="48"/>
      <c r="AHC229" s="48"/>
      <c r="AHD229" s="48"/>
      <c r="AHE229" s="48"/>
      <c r="AHF229" s="48"/>
      <c r="AHG229" s="48"/>
      <c r="AHH229" s="48"/>
      <c r="AHI229" s="48"/>
      <c r="AHJ229" s="48"/>
      <c r="AHK229" s="48"/>
      <c r="AHL229" s="48"/>
      <c r="AHM229" s="48"/>
      <c r="AHN229" s="48"/>
      <c r="AHO229" s="48"/>
      <c r="AHP229" s="48"/>
      <c r="AHQ229" s="48"/>
      <c r="AHR229" s="48"/>
      <c r="AHS229" s="48"/>
      <c r="AHT229" s="48"/>
      <c r="AHU229" s="48"/>
      <c r="AHV229" s="48"/>
      <c r="AHW229" s="48"/>
      <c r="AHX229" s="48"/>
      <c r="AHY229" s="48"/>
      <c r="AHZ229" s="48"/>
      <c r="AIA229" s="48"/>
      <c r="AIB229" s="48"/>
      <c r="AIC229" s="48"/>
      <c r="AID229" s="48"/>
      <c r="AIE229" s="48"/>
      <c r="AIF229" s="48"/>
      <c r="AIG229" s="48"/>
      <c r="AIH229" s="48"/>
      <c r="AII229" s="48"/>
      <c r="AIJ229" s="48"/>
      <c r="AIK229" s="48"/>
      <c r="AIL229" s="48"/>
      <c r="AIM229" s="48"/>
      <c r="AIN229" s="48"/>
      <c r="AIO229" s="48"/>
      <c r="AIP229" s="48"/>
      <c r="AIQ229" s="48"/>
      <c r="AIR229" s="48"/>
      <c r="AIS229" s="48"/>
      <c r="AIT229" s="48"/>
      <c r="AIU229" s="48"/>
      <c r="AIV229" s="48"/>
      <c r="AIW229" s="48"/>
      <c r="AIX229" s="48"/>
      <c r="AIY229" s="48"/>
      <c r="AIZ229" s="48"/>
      <c r="AJA229" s="48"/>
      <c r="AJB229" s="48"/>
      <c r="AJC229" s="48"/>
      <c r="AJD229" s="48"/>
      <c r="AJE229" s="48"/>
      <c r="AJF229" s="48"/>
      <c r="AJG229" s="48"/>
      <c r="AJH229" s="48"/>
      <c r="AJI229" s="48"/>
      <c r="AJJ229" s="48"/>
      <c r="AJK229" s="48"/>
      <c r="AJL229" s="48"/>
      <c r="AJM229" s="48"/>
      <c r="AJN229" s="48"/>
      <c r="AJO229" s="48"/>
      <c r="AJP229" s="48"/>
      <c r="AJQ229" s="48"/>
      <c r="AJR229" s="48"/>
      <c r="AJS229" s="48"/>
      <c r="AJT229" s="48"/>
      <c r="AJU229" s="48"/>
      <c r="AJV229" s="48"/>
      <c r="AJW229" s="48"/>
      <c r="AJX229" s="48"/>
      <c r="AJY229" s="48"/>
      <c r="AJZ229" s="48"/>
      <c r="AKA229" s="48"/>
      <c r="AKB229" s="48"/>
      <c r="AKC229" s="48"/>
      <c r="AKD229" s="48"/>
      <c r="AKE229" s="48"/>
      <c r="AKF229" s="48"/>
      <c r="AKG229" s="48"/>
      <c r="AKH229" s="48"/>
      <c r="AKI229" s="48"/>
      <c r="AKJ229" s="48"/>
      <c r="AKK229" s="48"/>
      <c r="AKL229" s="48"/>
      <c r="AKM229" s="48"/>
      <c r="AKN229" s="48"/>
      <c r="AKO229" s="48"/>
      <c r="AKP229" s="48"/>
      <c r="AKQ229" s="48"/>
      <c r="AKR229" s="48"/>
      <c r="AKS229" s="48"/>
      <c r="AKT229" s="48"/>
      <c r="AKU229" s="48"/>
      <c r="AKV229" s="48"/>
      <c r="AKW229" s="48"/>
      <c r="AKX229" s="48"/>
      <c r="AKY229" s="48"/>
      <c r="AKZ229" s="48"/>
      <c r="ALA229" s="48"/>
      <c r="ALB229" s="48"/>
      <c r="ALC229" s="48"/>
      <c r="ALD229" s="48"/>
      <c r="ALE229" s="48"/>
      <c r="ALF229" s="48"/>
      <c r="ALG229" s="48"/>
      <c r="ALH229" s="48"/>
      <c r="ALI229" s="48"/>
      <c r="ALJ229" s="48"/>
      <c r="ALK229" s="48"/>
      <c r="ALL229" s="48"/>
      <c r="ALM229" s="48"/>
      <c r="ALN229" s="48"/>
      <c r="ALO229" s="48"/>
      <c r="ALP229" s="48"/>
      <c r="ALQ229" s="48"/>
      <c r="ALR229" s="48"/>
      <c r="ALS229" s="48"/>
      <c r="ALT229" s="48"/>
      <c r="ALU229" s="48"/>
      <c r="ALV229" s="48"/>
      <c r="ALW229" s="48"/>
      <c r="ALX229" s="48"/>
      <c r="ALY229" s="48"/>
      <c r="ALZ229" s="48"/>
      <c r="AMA229" s="48"/>
      <c r="AMB229" s="48"/>
      <c r="AMC229" s="48"/>
      <c r="AMD229" s="48"/>
      <c r="AME229" s="48"/>
      <c r="AMF229" s="48"/>
      <c r="AMG229" s="48"/>
      <c r="AMH229" s="48"/>
      <c r="AMI229" s="48"/>
      <c r="AMJ229" s="48"/>
      <c r="AMK229" s="48"/>
    </row>
    <row r="230" spans="1:1025" s="80" customFormat="1" x14ac:dyDescent="0.25">
      <c r="A230" s="91" t="s">
        <v>533</v>
      </c>
      <c r="B230" s="54" t="s">
        <v>534</v>
      </c>
      <c r="C230" s="55">
        <v>1.3</v>
      </c>
      <c r="D230" s="55">
        <v>10.8</v>
      </c>
      <c r="E230" s="55">
        <v>8.1999999999999993</v>
      </c>
      <c r="F230" s="55">
        <v>135.19999999999999</v>
      </c>
      <c r="G230" s="55">
        <v>1.36</v>
      </c>
      <c r="H230" s="55">
        <v>4.66</v>
      </c>
      <c r="I230" s="55">
        <v>3.5999999999999997E-2</v>
      </c>
      <c r="J230" s="55">
        <v>4.3999999999999997E-2</v>
      </c>
      <c r="K230" s="90" t="s">
        <v>90</v>
      </c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8"/>
      <c r="BN230" s="48"/>
      <c r="BO230" s="48"/>
      <c r="BP230" s="48"/>
      <c r="BQ230" s="48"/>
      <c r="BR230" s="48"/>
      <c r="BS230" s="48"/>
      <c r="BT230" s="48"/>
      <c r="BU230" s="48"/>
      <c r="BV230" s="48"/>
      <c r="BW230" s="48"/>
      <c r="BX230" s="48"/>
      <c r="BY230" s="48"/>
      <c r="BZ230" s="48"/>
      <c r="CA230" s="48"/>
      <c r="CB230" s="48"/>
      <c r="CC230" s="48"/>
      <c r="CD230" s="48"/>
      <c r="CE230" s="48"/>
      <c r="CF230" s="48"/>
      <c r="CG230" s="48"/>
      <c r="CH230" s="48"/>
      <c r="CI230" s="48"/>
      <c r="CJ230" s="48"/>
      <c r="CK230" s="48"/>
      <c r="CL230" s="48"/>
      <c r="CM230" s="48"/>
      <c r="CN230" s="48"/>
      <c r="CO230" s="48"/>
      <c r="CP230" s="48"/>
      <c r="CQ230" s="48"/>
      <c r="CR230" s="48"/>
      <c r="CS230" s="48"/>
      <c r="CT230" s="48"/>
      <c r="CU230" s="48"/>
      <c r="CV230" s="48"/>
      <c r="CW230" s="48"/>
      <c r="CX230" s="48"/>
      <c r="CY230" s="48"/>
      <c r="CZ230" s="48"/>
      <c r="DA230" s="48"/>
      <c r="DB230" s="48"/>
      <c r="DC230" s="48"/>
      <c r="DD230" s="48"/>
      <c r="DE230" s="48"/>
      <c r="DF230" s="48"/>
      <c r="DG230" s="48"/>
      <c r="DH230" s="48"/>
      <c r="DI230" s="48"/>
      <c r="DJ230" s="48"/>
      <c r="DK230" s="48"/>
      <c r="DL230" s="48"/>
      <c r="DM230" s="48"/>
      <c r="DN230" s="48"/>
      <c r="DO230" s="48"/>
      <c r="DP230" s="48"/>
      <c r="DQ230" s="48"/>
      <c r="DR230" s="48"/>
      <c r="DS230" s="48"/>
      <c r="DT230" s="48"/>
      <c r="DU230" s="48"/>
      <c r="DV230" s="48"/>
      <c r="DW230" s="48"/>
      <c r="DX230" s="48"/>
      <c r="DY230" s="48"/>
      <c r="DZ230" s="48"/>
      <c r="EA230" s="48"/>
      <c r="EB230" s="48"/>
      <c r="EC230" s="48"/>
      <c r="ED230" s="48"/>
      <c r="EE230" s="48"/>
      <c r="EF230" s="48"/>
      <c r="EG230" s="48"/>
      <c r="EH230" s="48"/>
      <c r="EI230" s="48"/>
      <c r="EJ230" s="48"/>
      <c r="EK230" s="48"/>
      <c r="EL230" s="48"/>
      <c r="EM230" s="48"/>
      <c r="EN230" s="48"/>
      <c r="EO230" s="48"/>
      <c r="EP230" s="48"/>
      <c r="EQ230" s="48"/>
      <c r="ER230" s="48"/>
      <c r="ES230" s="48"/>
      <c r="ET230" s="48"/>
      <c r="EU230" s="48"/>
      <c r="EV230" s="48"/>
      <c r="EW230" s="48"/>
      <c r="EX230" s="48"/>
      <c r="EY230" s="48"/>
      <c r="EZ230" s="48"/>
      <c r="FA230" s="48"/>
      <c r="FB230" s="48"/>
      <c r="FC230" s="48"/>
      <c r="FD230" s="48"/>
      <c r="FE230" s="48"/>
      <c r="FF230" s="48"/>
      <c r="FG230" s="48"/>
      <c r="FH230" s="48"/>
      <c r="FI230" s="48"/>
      <c r="FJ230" s="48"/>
      <c r="FK230" s="48"/>
      <c r="FL230" s="48"/>
      <c r="FM230" s="48"/>
      <c r="FN230" s="48"/>
      <c r="FO230" s="48"/>
      <c r="FP230" s="48"/>
      <c r="FQ230" s="48"/>
      <c r="FR230" s="48"/>
      <c r="FS230" s="48"/>
      <c r="FT230" s="48"/>
      <c r="FU230" s="48"/>
      <c r="FV230" s="48"/>
      <c r="FW230" s="48"/>
      <c r="FX230" s="48"/>
      <c r="FY230" s="48"/>
      <c r="FZ230" s="48"/>
      <c r="GA230" s="48"/>
      <c r="GB230" s="48"/>
      <c r="GC230" s="48"/>
      <c r="GD230" s="48"/>
      <c r="GE230" s="48"/>
      <c r="GF230" s="48"/>
      <c r="GG230" s="48"/>
      <c r="GH230" s="48"/>
      <c r="GI230" s="48"/>
      <c r="GJ230" s="48"/>
      <c r="GK230" s="48"/>
      <c r="GL230" s="48"/>
      <c r="GM230" s="48"/>
      <c r="GN230" s="48"/>
      <c r="GO230" s="48"/>
      <c r="GP230" s="48"/>
      <c r="GQ230" s="48"/>
      <c r="GR230" s="48"/>
      <c r="GS230" s="48"/>
      <c r="GT230" s="48"/>
      <c r="GU230" s="48"/>
      <c r="GV230" s="48"/>
      <c r="GW230" s="48"/>
      <c r="GX230" s="48"/>
      <c r="GY230" s="48"/>
      <c r="GZ230" s="48"/>
      <c r="HA230" s="48"/>
      <c r="HB230" s="48"/>
      <c r="HC230" s="48"/>
      <c r="HD230" s="48"/>
      <c r="HE230" s="48"/>
      <c r="HF230" s="48"/>
      <c r="HG230" s="48"/>
      <c r="HH230" s="48"/>
      <c r="HI230" s="48"/>
      <c r="HJ230" s="48"/>
      <c r="HK230" s="48"/>
      <c r="HL230" s="48"/>
      <c r="HM230" s="48"/>
      <c r="HN230" s="48"/>
      <c r="HO230" s="48"/>
      <c r="HP230" s="48"/>
      <c r="HQ230" s="48"/>
      <c r="HR230" s="48"/>
      <c r="HS230" s="48"/>
      <c r="HT230" s="48"/>
      <c r="HU230" s="48"/>
      <c r="HV230" s="48"/>
      <c r="HW230" s="48"/>
      <c r="HX230" s="48"/>
      <c r="HY230" s="48"/>
      <c r="HZ230" s="48"/>
      <c r="IA230" s="48"/>
      <c r="IB230" s="48"/>
      <c r="IC230" s="48"/>
      <c r="ID230" s="48"/>
      <c r="IE230" s="48"/>
      <c r="IF230" s="48"/>
      <c r="IG230" s="48"/>
      <c r="IH230" s="48"/>
      <c r="II230" s="48"/>
      <c r="IJ230" s="48"/>
      <c r="IK230" s="48"/>
      <c r="IL230" s="48"/>
      <c r="IM230" s="48"/>
      <c r="IN230" s="48"/>
      <c r="IO230" s="48"/>
      <c r="IP230" s="48"/>
      <c r="IQ230" s="48"/>
      <c r="IR230" s="48"/>
      <c r="IS230" s="48"/>
      <c r="IT230" s="48"/>
      <c r="IU230" s="48"/>
      <c r="IV230" s="48"/>
      <c r="IW230" s="48"/>
      <c r="IX230" s="48"/>
      <c r="IY230" s="48"/>
      <c r="IZ230" s="48"/>
      <c r="JA230" s="48"/>
      <c r="JB230" s="48"/>
      <c r="JC230" s="48"/>
      <c r="JD230" s="48"/>
      <c r="JE230" s="48"/>
      <c r="JF230" s="48"/>
      <c r="JG230" s="48"/>
      <c r="JH230" s="48"/>
      <c r="JI230" s="48"/>
      <c r="JJ230" s="48"/>
      <c r="JK230" s="48"/>
      <c r="JL230" s="48"/>
      <c r="JM230" s="48"/>
      <c r="JN230" s="48"/>
      <c r="JO230" s="48"/>
      <c r="JP230" s="48"/>
      <c r="JQ230" s="48"/>
      <c r="JR230" s="48"/>
      <c r="JS230" s="48"/>
      <c r="JT230" s="48"/>
      <c r="JU230" s="48"/>
      <c r="JV230" s="48"/>
      <c r="JW230" s="48"/>
      <c r="JX230" s="48"/>
      <c r="JY230" s="48"/>
      <c r="JZ230" s="48"/>
      <c r="KA230" s="48"/>
      <c r="KB230" s="48"/>
      <c r="KC230" s="48"/>
      <c r="KD230" s="48"/>
      <c r="KE230" s="48"/>
      <c r="KF230" s="48"/>
      <c r="KG230" s="48"/>
      <c r="KH230" s="48"/>
      <c r="KI230" s="48"/>
      <c r="KJ230" s="48"/>
      <c r="KK230" s="48"/>
      <c r="KL230" s="48"/>
      <c r="KM230" s="48"/>
      <c r="KN230" s="48"/>
      <c r="KO230" s="48"/>
      <c r="KP230" s="48"/>
      <c r="KQ230" s="48"/>
      <c r="KR230" s="48"/>
      <c r="KS230" s="48"/>
      <c r="KT230" s="48"/>
      <c r="KU230" s="48"/>
      <c r="KV230" s="48"/>
      <c r="KW230" s="48"/>
      <c r="KX230" s="48"/>
      <c r="KY230" s="48"/>
      <c r="KZ230" s="48"/>
      <c r="LA230" s="48"/>
      <c r="LB230" s="48"/>
      <c r="LC230" s="48"/>
      <c r="LD230" s="48"/>
      <c r="LE230" s="48"/>
      <c r="LF230" s="48"/>
      <c r="LG230" s="48"/>
      <c r="LH230" s="48"/>
      <c r="LI230" s="48"/>
      <c r="LJ230" s="48"/>
      <c r="LK230" s="48"/>
      <c r="LL230" s="48"/>
      <c r="LM230" s="48"/>
      <c r="LN230" s="48"/>
      <c r="LO230" s="48"/>
      <c r="LP230" s="48"/>
      <c r="LQ230" s="48"/>
      <c r="LR230" s="48"/>
      <c r="LS230" s="48"/>
      <c r="LT230" s="48"/>
      <c r="LU230" s="48"/>
      <c r="LV230" s="48"/>
      <c r="LW230" s="48"/>
      <c r="LX230" s="48"/>
      <c r="LY230" s="48"/>
      <c r="LZ230" s="48"/>
      <c r="MA230" s="48"/>
      <c r="MB230" s="48"/>
      <c r="MC230" s="48"/>
      <c r="MD230" s="48"/>
      <c r="ME230" s="48"/>
      <c r="MF230" s="48"/>
      <c r="MG230" s="48"/>
      <c r="MH230" s="48"/>
      <c r="MI230" s="48"/>
      <c r="MJ230" s="48"/>
      <c r="MK230" s="48"/>
      <c r="ML230" s="48"/>
      <c r="MM230" s="48"/>
      <c r="MN230" s="48"/>
      <c r="MO230" s="48"/>
      <c r="MP230" s="48"/>
      <c r="MQ230" s="48"/>
      <c r="MR230" s="48"/>
      <c r="MS230" s="48"/>
      <c r="MT230" s="48"/>
      <c r="MU230" s="48"/>
      <c r="MV230" s="48"/>
      <c r="MW230" s="48"/>
      <c r="MX230" s="48"/>
      <c r="MY230" s="48"/>
      <c r="MZ230" s="48"/>
      <c r="NA230" s="48"/>
      <c r="NB230" s="48"/>
      <c r="NC230" s="48"/>
      <c r="ND230" s="48"/>
      <c r="NE230" s="48"/>
      <c r="NF230" s="48"/>
      <c r="NG230" s="48"/>
      <c r="NH230" s="48"/>
      <c r="NI230" s="48"/>
      <c r="NJ230" s="48"/>
      <c r="NK230" s="48"/>
      <c r="NL230" s="48"/>
      <c r="NM230" s="48"/>
      <c r="NN230" s="48"/>
      <c r="NO230" s="48"/>
      <c r="NP230" s="48"/>
      <c r="NQ230" s="48"/>
      <c r="NR230" s="48"/>
      <c r="NS230" s="48"/>
      <c r="NT230" s="48"/>
      <c r="NU230" s="48"/>
      <c r="NV230" s="48"/>
      <c r="NW230" s="48"/>
      <c r="NX230" s="48"/>
      <c r="NY230" s="48"/>
      <c r="NZ230" s="48"/>
      <c r="OA230" s="48"/>
      <c r="OB230" s="48"/>
      <c r="OC230" s="48"/>
      <c r="OD230" s="48"/>
      <c r="OE230" s="48"/>
      <c r="OF230" s="48"/>
      <c r="OG230" s="48"/>
      <c r="OH230" s="48"/>
      <c r="OI230" s="48"/>
      <c r="OJ230" s="48"/>
      <c r="OK230" s="48"/>
      <c r="OL230" s="48"/>
      <c r="OM230" s="48"/>
      <c r="ON230" s="48"/>
      <c r="OO230" s="48"/>
      <c r="OP230" s="48"/>
      <c r="OQ230" s="48"/>
      <c r="OR230" s="48"/>
      <c r="OS230" s="48"/>
      <c r="OT230" s="48"/>
      <c r="OU230" s="48"/>
      <c r="OV230" s="48"/>
      <c r="OW230" s="48"/>
      <c r="OX230" s="48"/>
      <c r="OY230" s="48"/>
      <c r="OZ230" s="48"/>
      <c r="PA230" s="48"/>
      <c r="PB230" s="48"/>
      <c r="PC230" s="48"/>
      <c r="PD230" s="48"/>
      <c r="PE230" s="48"/>
      <c r="PF230" s="48"/>
      <c r="PG230" s="48"/>
      <c r="PH230" s="48"/>
      <c r="PI230" s="48"/>
      <c r="PJ230" s="48"/>
      <c r="PK230" s="48"/>
      <c r="PL230" s="48"/>
      <c r="PM230" s="48"/>
      <c r="PN230" s="48"/>
      <c r="PO230" s="48"/>
      <c r="PP230" s="48"/>
      <c r="PQ230" s="48"/>
      <c r="PR230" s="48"/>
      <c r="PS230" s="48"/>
      <c r="PT230" s="48"/>
      <c r="PU230" s="48"/>
      <c r="PV230" s="48"/>
      <c r="PW230" s="48"/>
      <c r="PX230" s="48"/>
      <c r="PY230" s="48"/>
      <c r="PZ230" s="48"/>
      <c r="QA230" s="48"/>
      <c r="QB230" s="48"/>
      <c r="QC230" s="48"/>
      <c r="QD230" s="48"/>
      <c r="QE230" s="48"/>
      <c r="QF230" s="48"/>
      <c r="QG230" s="48"/>
      <c r="QH230" s="48"/>
      <c r="QI230" s="48"/>
      <c r="QJ230" s="48"/>
      <c r="QK230" s="48"/>
      <c r="QL230" s="48"/>
      <c r="QM230" s="48"/>
      <c r="QN230" s="48"/>
      <c r="QO230" s="48"/>
      <c r="QP230" s="48"/>
      <c r="QQ230" s="48"/>
      <c r="QR230" s="48"/>
      <c r="QS230" s="48"/>
      <c r="QT230" s="48"/>
      <c r="QU230" s="48"/>
      <c r="QV230" s="48"/>
      <c r="QW230" s="48"/>
      <c r="QX230" s="48"/>
      <c r="QY230" s="48"/>
      <c r="QZ230" s="48"/>
      <c r="RA230" s="48"/>
      <c r="RB230" s="48"/>
      <c r="RC230" s="48"/>
      <c r="RD230" s="48"/>
      <c r="RE230" s="48"/>
      <c r="RF230" s="48"/>
      <c r="RG230" s="48"/>
      <c r="RH230" s="48"/>
      <c r="RI230" s="48"/>
      <c r="RJ230" s="48"/>
      <c r="RK230" s="48"/>
      <c r="RL230" s="48"/>
      <c r="RM230" s="48"/>
      <c r="RN230" s="48"/>
      <c r="RO230" s="48"/>
      <c r="RP230" s="48"/>
      <c r="RQ230" s="48"/>
      <c r="RR230" s="48"/>
      <c r="RS230" s="48"/>
      <c r="RT230" s="48"/>
      <c r="RU230" s="48"/>
      <c r="RV230" s="48"/>
      <c r="RW230" s="48"/>
      <c r="RX230" s="48"/>
      <c r="RY230" s="48"/>
      <c r="RZ230" s="48"/>
      <c r="SA230" s="48"/>
      <c r="SB230" s="48"/>
      <c r="SC230" s="48"/>
      <c r="SD230" s="48"/>
      <c r="SE230" s="48"/>
      <c r="SF230" s="48"/>
      <c r="SG230" s="48"/>
      <c r="SH230" s="48"/>
      <c r="SI230" s="48"/>
      <c r="SJ230" s="48"/>
      <c r="SK230" s="48"/>
      <c r="SL230" s="48"/>
      <c r="SM230" s="48"/>
      <c r="SN230" s="48"/>
      <c r="SO230" s="48"/>
      <c r="SP230" s="48"/>
      <c r="SQ230" s="48"/>
      <c r="SR230" s="48"/>
      <c r="SS230" s="48"/>
      <c r="ST230" s="48"/>
      <c r="SU230" s="48"/>
      <c r="SV230" s="48"/>
      <c r="SW230" s="48"/>
      <c r="SX230" s="48"/>
      <c r="SY230" s="48"/>
      <c r="SZ230" s="48"/>
      <c r="TA230" s="48"/>
      <c r="TB230" s="48"/>
      <c r="TC230" s="48"/>
      <c r="TD230" s="48"/>
      <c r="TE230" s="48"/>
      <c r="TF230" s="48"/>
      <c r="TG230" s="48"/>
      <c r="TH230" s="48"/>
      <c r="TI230" s="48"/>
      <c r="TJ230" s="48"/>
      <c r="TK230" s="48"/>
      <c r="TL230" s="48"/>
      <c r="TM230" s="48"/>
      <c r="TN230" s="48"/>
      <c r="TO230" s="48"/>
      <c r="TP230" s="48"/>
      <c r="TQ230" s="48"/>
      <c r="TR230" s="48"/>
      <c r="TS230" s="48"/>
      <c r="TT230" s="48"/>
      <c r="TU230" s="48"/>
      <c r="TV230" s="48"/>
      <c r="TW230" s="48"/>
      <c r="TX230" s="48"/>
      <c r="TY230" s="48"/>
      <c r="TZ230" s="48"/>
      <c r="UA230" s="48"/>
      <c r="UB230" s="48"/>
      <c r="UC230" s="48"/>
      <c r="UD230" s="48"/>
      <c r="UE230" s="48"/>
      <c r="UF230" s="48"/>
      <c r="UG230" s="48"/>
      <c r="UH230" s="48"/>
      <c r="UI230" s="48"/>
      <c r="UJ230" s="48"/>
      <c r="UK230" s="48"/>
      <c r="UL230" s="48"/>
      <c r="UM230" s="48"/>
      <c r="UN230" s="48"/>
      <c r="UO230" s="48"/>
      <c r="UP230" s="48"/>
      <c r="UQ230" s="48"/>
      <c r="UR230" s="48"/>
      <c r="US230" s="48"/>
      <c r="UT230" s="48"/>
      <c r="UU230" s="48"/>
      <c r="UV230" s="48"/>
      <c r="UW230" s="48"/>
      <c r="UX230" s="48"/>
      <c r="UY230" s="48"/>
      <c r="UZ230" s="48"/>
      <c r="VA230" s="48"/>
      <c r="VB230" s="48"/>
      <c r="VC230" s="48"/>
      <c r="VD230" s="48"/>
      <c r="VE230" s="48"/>
      <c r="VF230" s="48"/>
      <c r="VG230" s="48"/>
      <c r="VH230" s="48"/>
      <c r="VI230" s="48"/>
      <c r="VJ230" s="48"/>
      <c r="VK230" s="48"/>
      <c r="VL230" s="48"/>
      <c r="VM230" s="48"/>
      <c r="VN230" s="48"/>
      <c r="VO230" s="48"/>
      <c r="VP230" s="48"/>
      <c r="VQ230" s="48"/>
      <c r="VR230" s="48"/>
      <c r="VS230" s="48"/>
      <c r="VT230" s="48"/>
      <c r="VU230" s="48"/>
      <c r="VV230" s="48"/>
      <c r="VW230" s="48"/>
      <c r="VX230" s="48"/>
      <c r="VY230" s="48"/>
      <c r="VZ230" s="48"/>
      <c r="WA230" s="48"/>
      <c r="WB230" s="48"/>
      <c r="WC230" s="48"/>
      <c r="WD230" s="48"/>
      <c r="WE230" s="48"/>
      <c r="WF230" s="48"/>
      <c r="WG230" s="48"/>
      <c r="WH230" s="48"/>
      <c r="WI230" s="48"/>
      <c r="WJ230" s="48"/>
      <c r="WK230" s="48"/>
      <c r="WL230" s="48"/>
      <c r="WM230" s="48"/>
      <c r="WN230" s="48"/>
      <c r="WO230" s="48"/>
      <c r="WP230" s="48"/>
      <c r="WQ230" s="48"/>
      <c r="WR230" s="48"/>
      <c r="WS230" s="48"/>
      <c r="WT230" s="48"/>
      <c r="WU230" s="48"/>
      <c r="WV230" s="48"/>
      <c r="WW230" s="48"/>
      <c r="WX230" s="48"/>
      <c r="WY230" s="48"/>
      <c r="WZ230" s="48"/>
      <c r="XA230" s="48"/>
      <c r="XB230" s="48"/>
      <c r="XC230" s="48"/>
      <c r="XD230" s="48"/>
      <c r="XE230" s="48"/>
      <c r="XF230" s="48"/>
      <c r="XG230" s="48"/>
      <c r="XH230" s="48"/>
      <c r="XI230" s="48"/>
      <c r="XJ230" s="48"/>
      <c r="XK230" s="48"/>
      <c r="XL230" s="48"/>
      <c r="XM230" s="48"/>
      <c r="XN230" s="48"/>
      <c r="XO230" s="48"/>
      <c r="XP230" s="48"/>
      <c r="XQ230" s="48"/>
      <c r="XR230" s="48"/>
      <c r="XS230" s="48"/>
      <c r="XT230" s="48"/>
      <c r="XU230" s="48"/>
      <c r="XV230" s="48"/>
      <c r="XW230" s="48"/>
      <c r="XX230" s="48"/>
      <c r="XY230" s="48"/>
      <c r="XZ230" s="48"/>
      <c r="YA230" s="48"/>
      <c r="YB230" s="48"/>
      <c r="YC230" s="48"/>
      <c r="YD230" s="48"/>
      <c r="YE230" s="48"/>
      <c r="YF230" s="48"/>
      <c r="YG230" s="48"/>
      <c r="YH230" s="48"/>
      <c r="YI230" s="48"/>
      <c r="YJ230" s="48"/>
      <c r="YK230" s="48"/>
      <c r="YL230" s="48"/>
      <c r="YM230" s="48"/>
      <c r="YN230" s="48"/>
      <c r="YO230" s="48"/>
      <c r="YP230" s="48"/>
      <c r="YQ230" s="48"/>
      <c r="YR230" s="48"/>
      <c r="YS230" s="48"/>
      <c r="YT230" s="48"/>
      <c r="YU230" s="48"/>
      <c r="YV230" s="48"/>
      <c r="YW230" s="48"/>
      <c r="YX230" s="48"/>
      <c r="YY230" s="48"/>
      <c r="YZ230" s="48"/>
      <c r="ZA230" s="48"/>
      <c r="ZB230" s="48"/>
      <c r="ZC230" s="48"/>
      <c r="ZD230" s="48"/>
      <c r="ZE230" s="48"/>
      <c r="ZF230" s="48"/>
      <c r="ZG230" s="48"/>
      <c r="ZH230" s="48"/>
      <c r="ZI230" s="48"/>
      <c r="ZJ230" s="48"/>
      <c r="ZK230" s="48"/>
      <c r="ZL230" s="48"/>
      <c r="ZM230" s="48"/>
      <c r="ZN230" s="48"/>
      <c r="ZO230" s="48"/>
      <c r="ZP230" s="48"/>
      <c r="ZQ230" s="48"/>
      <c r="ZR230" s="48"/>
      <c r="ZS230" s="48"/>
      <c r="ZT230" s="48"/>
      <c r="ZU230" s="48"/>
      <c r="ZV230" s="48"/>
      <c r="ZW230" s="48"/>
      <c r="ZX230" s="48"/>
      <c r="ZY230" s="48"/>
      <c r="ZZ230" s="48"/>
      <c r="AAA230" s="48"/>
      <c r="AAB230" s="48"/>
      <c r="AAC230" s="48"/>
      <c r="AAD230" s="48"/>
      <c r="AAE230" s="48"/>
      <c r="AAF230" s="48"/>
      <c r="AAG230" s="48"/>
      <c r="AAH230" s="48"/>
      <c r="AAI230" s="48"/>
      <c r="AAJ230" s="48"/>
      <c r="AAK230" s="48"/>
      <c r="AAL230" s="48"/>
      <c r="AAM230" s="48"/>
      <c r="AAN230" s="48"/>
      <c r="AAO230" s="48"/>
      <c r="AAP230" s="48"/>
      <c r="AAQ230" s="48"/>
      <c r="AAR230" s="48"/>
      <c r="AAS230" s="48"/>
      <c r="AAT230" s="48"/>
      <c r="AAU230" s="48"/>
      <c r="AAV230" s="48"/>
      <c r="AAW230" s="48"/>
      <c r="AAX230" s="48"/>
      <c r="AAY230" s="48"/>
      <c r="AAZ230" s="48"/>
      <c r="ABA230" s="48"/>
      <c r="ABB230" s="48"/>
      <c r="ABC230" s="48"/>
      <c r="ABD230" s="48"/>
      <c r="ABE230" s="48"/>
      <c r="ABF230" s="48"/>
      <c r="ABG230" s="48"/>
      <c r="ABH230" s="48"/>
      <c r="ABI230" s="48"/>
      <c r="ABJ230" s="48"/>
      <c r="ABK230" s="48"/>
      <c r="ABL230" s="48"/>
      <c r="ABM230" s="48"/>
      <c r="ABN230" s="48"/>
      <c r="ABO230" s="48"/>
      <c r="ABP230" s="48"/>
      <c r="ABQ230" s="48"/>
      <c r="ABR230" s="48"/>
      <c r="ABS230" s="48"/>
      <c r="ABT230" s="48"/>
      <c r="ABU230" s="48"/>
      <c r="ABV230" s="48"/>
      <c r="ABW230" s="48"/>
      <c r="ABX230" s="48"/>
      <c r="ABY230" s="48"/>
      <c r="ABZ230" s="48"/>
      <c r="ACA230" s="48"/>
      <c r="ACB230" s="48"/>
      <c r="ACC230" s="48"/>
      <c r="ACD230" s="48"/>
      <c r="ACE230" s="48"/>
      <c r="ACF230" s="48"/>
      <c r="ACG230" s="48"/>
      <c r="ACH230" s="48"/>
      <c r="ACI230" s="48"/>
      <c r="ACJ230" s="48"/>
      <c r="ACK230" s="48"/>
      <c r="ACL230" s="48"/>
      <c r="ACM230" s="48"/>
      <c r="ACN230" s="48"/>
      <c r="ACO230" s="48"/>
      <c r="ACP230" s="48"/>
      <c r="ACQ230" s="48"/>
      <c r="ACR230" s="48"/>
      <c r="ACS230" s="48"/>
      <c r="ACT230" s="48"/>
      <c r="ACU230" s="48"/>
      <c r="ACV230" s="48"/>
      <c r="ACW230" s="48"/>
      <c r="ACX230" s="48"/>
      <c r="ACY230" s="48"/>
      <c r="ACZ230" s="48"/>
      <c r="ADA230" s="48"/>
      <c r="ADB230" s="48"/>
      <c r="ADC230" s="48"/>
      <c r="ADD230" s="48"/>
      <c r="ADE230" s="48"/>
      <c r="ADF230" s="48"/>
      <c r="ADG230" s="48"/>
      <c r="ADH230" s="48"/>
      <c r="ADI230" s="48"/>
      <c r="ADJ230" s="48"/>
      <c r="ADK230" s="48"/>
      <c r="ADL230" s="48"/>
      <c r="ADM230" s="48"/>
      <c r="ADN230" s="48"/>
      <c r="ADO230" s="48"/>
      <c r="ADP230" s="48"/>
      <c r="ADQ230" s="48"/>
      <c r="ADR230" s="48"/>
      <c r="ADS230" s="48"/>
      <c r="ADT230" s="48"/>
      <c r="ADU230" s="48"/>
      <c r="ADV230" s="48"/>
      <c r="ADW230" s="48"/>
      <c r="ADX230" s="48"/>
      <c r="ADY230" s="48"/>
      <c r="ADZ230" s="48"/>
      <c r="AEA230" s="48"/>
      <c r="AEB230" s="48"/>
      <c r="AEC230" s="48"/>
      <c r="AED230" s="48"/>
      <c r="AEE230" s="48"/>
      <c r="AEF230" s="48"/>
      <c r="AEG230" s="48"/>
      <c r="AEH230" s="48"/>
      <c r="AEI230" s="48"/>
      <c r="AEJ230" s="48"/>
      <c r="AEK230" s="48"/>
      <c r="AEL230" s="48"/>
      <c r="AEM230" s="48"/>
      <c r="AEN230" s="48"/>
      <c r="AEO230" s="48"/>
      <c r="AEP230" s="48"/>
      <c r="AEQ230" s="48"/>
      <c r="AER230" s="48"/>
      <c r="AES230" s="48"/>
      <c r="AET230" s="48"/>
      <c r="AEU230" s="48"/>
      <c r="AEV230" s="48"/>
      <c r="AEW230" s="48"/>
      <c r="AEX230" s="48"/>
      <c r="AEY230" s="48"/>
      <c r="AEZ230" s="48"/>
      <c r="AFA230" s="48"/>
      <c r="AFB230" s="48"/>
      <c r="AFC230" s="48"/>
      <c r="AFD230" s="48"/>
      <c r="AFE230" s="48"/>
      <c r="AFF230" s="48"/>
      <c r="AFG230" s="48"/>
      <c r="AFH230" s="48"/>
      <c r="AFI230" s="48"/>
      <c r="AFJ230" s="48"/>
      <c r="AFK230" s="48"/>
      <c r="AFL230" s="48"/>
      <c r="AFM230" s="48"/>
      <c r="AFN230" s="48"/>
      <c r="AFO230" s="48"/>
      <c r="AFP230" s="48"/>
      <c r="AFQ230" s="48"/>
      <c r="AFR230" s="48"/>
      <c r="AFS230" s="48"/>
      <c r="AFT230" s="48"/>
      <c r="AFU230" s="48"/>
      <c r="AFV230" s="48"/>
      <c r="AFW230" s="48"/>
      <c r="AFX230" s="48"/>
      <c r="AFY230" s="48"/>
      <c r="AFZ230" s="48"/>
      <c r="AGA230" s="48"/>
      <c r="AGB230" s="48"/>
      <c r="AGC230" s="48"/>
      <c r="AGD230" s="48"/>
      <c r="AGE230" s="48"/>
      <c r="AGF230" s="48"/>
      <c r="AGG230" s="48"/>
      <c r="AGH230" s="48"/>
      <c r="AGI230" s="48"/>
      <c r="AGJ230" s="48"/>
      <c r="AGK230" s="48"/>
      <c r="AGL230" s="48"/>
      <c r="AGM230" s="48"/>
      <c r="AGN230" s="48"/>
      <c r="AGO230" s="48"/>
      <c r="AGP230" s="48"/>
      <c r="AGQ230" s="48"/>
      <c r="AGR230" s="48"/>
      <c r="AGS230" s="48"/>
      <c r="AGT230" s="48"/>
      <c r="AGU230" s="48"/>
      <c r="AGV230" s="48"/>
      <c r="AGW230" s="48"/>
      <c r="AGX230" s="48"/>
      <c r="AGY230" s="48"/>
      <c r="AGZ230" s="48"/>
      <c r="AHA230" s="48"/>
      <c r="AHB230" s="48"/>
      <c r="AHC230" s="48"/>
      <c r="AHD230" s="48"/>
      <c r="AHE230" s="48"/>
      <c r="AHF230" s="48"/>
      <c r="AHG230" s="48"/>
      <c r="AHH230" s="48"/>
      <c r="AHI230" s="48"/>
      <c r="AHJ230" s="48"/>
      <c r="AHK230" s="48"/>
      <c r="AHL230" s="48"/>
      <c r="AHM230" s="48"/>
      <c r="AHN230" s="48"/>
      <c r="AHO230" s="48"/>
      <c r="AHP230" s="48"/>
      <c r="AHQ230" s="48"/>
      <c r="AHR230" s="48"/>
      <c r="AHS230" s="48"/>
      <c r="AHT230" s="48"/>
      <c r="AHU230" s="48"/>
      <c r="AHV230" s="48"/>
      <c r="AHW230" s="48"/>
      <c r="AHX230" s="48"/>
      <c r="AHY230" s="48"/>
      <c r="AHZ230" s="48"/>
      <c r="AIA230" s="48"/>
      <c r="AIB230" s="48"/>
      <c r="AIC230" s="48"/>
      <c r="AID230" s="48"/>
      <c r="AIE230" s="48"/>
      <c r="AIF230" s="48"/>
      <c r="AIG230" s="48"/>
      <c r="AIH230" s="48"/>
      <c r="AII230" s="48"/>
      <c r="AIJ230" s="48"/>
      <c r="AIK230" s="48"/>
      <c r="AIL230" s="48"/>
      <c r="AIM230" s="48"/>
      <c r="AIN230" s="48"/>
      <c r="AIO230" s="48"/>
      <c r="AIP230" s="48"/>
      <c r="AIQ230" s="48"/>
      <c r="AIR230" s="48"/>
      <c r="AIS230" s="48"/>
      <c r="AIT230" s="48"/>
      <c r="AIU230" s="48"/>
      <c r="AIV230" s="48"/>
      <c r="AIW230" s="48"/>
      <c r="AIX230" s="48"/>
      <c r="AIY230" s="48"/>
      <c r="AIZ230" s="48"/>
      <c r="AJA230" s="48"/>
      <c r="AJB230" s="48"/>
      <c r="AJC230" s="48"/>
      <c r="AJD230" s="48"/>
      <c r="AJE230" s="48"/>
      <c r="AJF230" s="48"/>
      <c r="AJG230" s="48"/>
      <c r="AJH230" s="48"/>
      <c r="AJI230" s="48"/>
      <c r="AJJ230" s="48"/>
      <c r="AJK230" s="48"/>
      <c r="AJL230" s="48"/>
      <c r="AJM230" s="48"/>
      <c r="AJN230" s="48"/>
      <c r="AJO230" s="48"/>
      <c r="AJP230" s="48"/>
      <c r="AJQ230" s="48"/>
      <c r="AJR230" s="48"/>
      <c r="AJS230" s="48"/>
      <c r="AJT230" s="48"/>
      <c r="AJU230" s="48"/>
      <c r="AJV230" s="48"/>
      <c r="AJW230" s="48"/>
      <c r="AJX230" s="48"/>
      <c r="AJY230" s="48"/>
      <c r="AJZ230" s="48"/>
      <c r="AKA230" s="48"/>
      <c r="AKB230" s="48"/>
      <c r="AKC230" s="48"/>
      <c r="AKD230" s="48"/>
      <c r="AKE230" s="48"/>
      <c r="AKF230" s="48"/>
      <c r="AKG230" s="48"/>
      <c r="AKH230" s="48"/>
      <c r="AKI230" s="48"/>
      <c r="AKJ230" s="48"/>
      <c r="AKK230" s="48"/>
      <c r="AKL230" s="48"/>
      <c r="AKM230" s="48"/>
      <c r="AKN230" s="48"/>
      <c r="AKO230" s="48"/>
      <c r="AKP230" s="48"/>
      <c r="AKQ230" s="48"/>
      <c r="AKR230" s="48"/>
      <c r="AKS230" s="48"/>
      <c r="AKT230" s="48"/>
      <c r="AKU230" s="48"/>
      <c r="AKV230" s="48"/>
      <c r="AKW230" s="48"/>
      <c r="AKX230" s="48"/>
      <c r="AKY230" s="48"/>
      <c r="AKZ230" s="48"/>
      <c r="ALA230" s="48"/>
      <c r="ALB230" s="48"/>
      <c r="ALC230" s="48"/>
      <c r="ALD230" s="48"/>
      <c r="ALE230" s="48"/>
      <c r="ALF230" s="48"/>
      <c r="ALG230" s="48"/>
      <c r="ALH230" s="48"/>
      <c r="ALI230" s="48"/>
      <c r="ALJ230" s="48"/>
      <c r="ALK230" s="48"/>
      <c r="ALL230" s="48"/>
      <c r="ALM230" s="48"/>
      <c r="ALN230" s="48"/>
      <c r="ALO230" s="48"/>
      <c r="ALP230" s="48"/>
      <c r="ALQ230" s="48"/>
      <c r="ALR230" s="48"/>
      <c r="ALS230" s="48"/>
      <c r="ALT230" s="48"/>
      <c r="ALU230" s="48"/>
      <c r="ALV230" s="48"/>
      <c r="ALW230" s="48"/>
      <c r="ALX230" s="48"/>
      <c r="ALY230" s="48"/>
      <c r="ALZ230" s="48"/>
      <c r="AMA230" s="48"/>
      <c r="AMB230" s="48"/>
      <c r="AMC230" s="48"/>
      <c r="AMD230" s="48"/>
      <c r="AME230" s="48"/>
      <c r="AMF230" s="48"/>
      <c r="AMG230" s="48"/>
      <c r="AMH230" s="48"/>
      <c r="AMI230" s="48"/>
      <c r="AMJ230" s="48"/>
      <c r="AMK230" s="48"/>
    </row>
    <row r="231" spans="1:1025" s="56" customFormat="1" x14ac:dyDescent="0.25">
      <c r="A231" s="93" t="s">
        <v>536</v>
      </c>
      <c r="B231" s="54">
        <v>200</v>
      </c>
      <c r="C231" s="55">
        <v>17.37</v>
      </c>
      <c r="D231" s="55">
        <v>9.0540000000000003</v>
      </c>
      <c r="E231" s="55">
        <v>30.789000000000001</v>
      </c>
      <c r="F231" s="55">
        <v>274.12200000000001</v>
      </c>
      <c r="G231" s="55">
        <v>16.596</v>
      </c>
      <c r="H231" s="55">
        <v>48.545999999999999</v>
      </c>
      <c r="I231" s="55">
        <v>2.0790000000000002</v>
      </c>
      <c r="J231" s="55">
        <v>1.2509999999999999</v>
      </c>
      <c r="K231" s="92" t="s">
        <v>288</v>
      </c>
    </row>
    <row r="232" spans="1:1025" s="80" customFormat="1" x14ac:dyDescent="0.25">
      <c r="A232" s="100" t="s">
        <v>543</v>
      </c>
      <c r="B232" s="54" t="s">
        <v>203</v>
      </c>
      <c r="C232" s="55">
        <v>4.9000000000000004</v>
      </c>
      <c r="D232" s="55">
        <v>5.7</v>
      </c>
      <c r="E232" s="55">
        <v>23.5</v>
      </c>
      <c r="F232" s="55">
        <v>167</v>
      </c>
      <c r="G232" s="55">
        <v>28.9</v>
      </c>
      <c r="H232" s="55">
        <v>10.73</v>
      </c>
      <c r="I232" s="55">
        <v>0.4</v>
      </c>
      <c r="J232" s="55">
        <v>3.2</v>
      </c>
      <c r="K232" s="99" t="s">
        <v>217</v>
      </c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  <c r="BR232" s="48"/>
      <c r="BS232" s="48"/>
      <c r="BT232" s="48"/>
      <c r="BU232" s="48"/>
      <c r="BV232" s="48"/>
      <c r="BW232" s="48"/>
      <c r="BX232" s="48"/>
      <c r="BY232" s="48"/>
      <c r="BZ232" s="48"/>
      <c r="CA232" s="48"/>
      <c r="CB232" s="48"/>
      <c r="CC232" s="48"/>
      <c r="CD232" s="48"/>
      <c r="CE232" s="48"/>
      <c r="CF232" s="48"/>
      <c r="CG232" s="48"/>
      <c r="CH232" s="48"/>
      <c r="CI232" s="48"/>
      <c r="CJ232" s="48"/>
      <c r="CK232" s="48"/>
      <c r="CL232" s="48"/>
      <c r="CM232" s="48"/>
      <c r="CN232" s="48"/>
      <c r="CO232" s="48"/>
      <c r="CP232" s="48"/>
      <c r="CQ232" s="48"/>
      <c r="CR232" s="48"/>
      <c r="CS232" s="48"/>
      <c r="CT232" s="48"/>
      <c r="CU232" s="48"/>
      <c r="CV232" s="48"/>
      <c r="CW232" s="48"/>
      <c r="CX232" s="48"/>
      <c r="CY232" s="48"/>
      <c r="CZ232" s="48"/>
      <c r="DA232" s="48"/>
      <c r="DB232" s="48"/>
      <c r="DC232" s="48"/>
      <c r="DD232" s="48"/>
      <c r="DE232" s="48"/>
      <c r="DF232" s="48"/>
      <c r="DG232" s="48"/>
      <c r="DH232" s="48"/>
      <c r="DI232" s="48"/>
      <c r="DJ232" s="48"/>
      <c r="DK232" s="48"/>
      <c r="DL232" s="48"/>
      <c r="DM232" s="48"/>
      <c r="DN232" s="48"/>
      <c r="DO232" s="48"/>
      <c r="DP232" s="48"/>
      <c r="DQ232" s="48"/>
      <c r="DR232" s="48"/>
      <c r="DS232" s="48"/>
      <c r="DT232" s="48"/>
      <c r="DU232" s="48"/>
      <c r="DV232" s="48"/>
      <c r="DW232" s="48"/>
      <c r="DX232" s="48"/>
      <c r="DY232" s="48"/>
      <c r="DZ232" s="48"/>
      <c r="EA232" s="48"/>
      <c r="EB232" s="48"/>
      <c r="EC232" s="48"/>
      <c r="ED232" s="48"/>
      <c r="EE232" s="48"/>
      <c r="EF232" s="48"/>
      <c r="EG232" s="48"/>
      <c r="EH232" s="48"/>
      <c r="EI232" s="48"/>
      <c r="EJ232" s="48"/>
      <c r="EK232" s="48"/>
      <c r="EL232" s="48"/>
      <c r="EM232" s="48"/>
      <c r="EN232" s="48"/>
      <c r="EO232" s="48"/>
      <c r="EP232" s="48"/>
      <c r="EQ232" s="48"/>
      <c r="ER232" s="48"/>
      <c r="ES232" s="48"/>
      <c r="ET232" s="48"/>
      <c r="EU232" s="48"/>
      <c r="EV232" s="48"/>
      <c r="EW232" s="48"/>
      <c r="EX232" s="48"/>
      <c r="EY232" s="48"/>
      <c r="EZ232" s="48"/>
      <c r="FA232" s="48"/>
      <c r="FB232" s="48"/>
      <c r="FC232" s="48"/>
      <c r="FD232" s="48"/>
      <c r="FE232" s="48"/>
      <c r="FF232" s="48"/>
      <c r="FG232" s="48"/>
      <c r="FH232" s="48"/>
      <c r="FI232" s="48"/>
      <c r="FJ232" s="48"/>
      <c r="FK232" s="48"/>
      <c r="FL232" s="48"/>
      <c r="FM232" s="48"/>
      <c r="FN232" s="48"/>
      <c r="FO232" s="48"/>
      <c r="FP232" s="48"/>
      <c r="FQ232" s="48"/>
      <c r="FR232" s="48"/>
      <c r="FS232" s="48"/>
      <c r="FT232" s="48"/>
      <c r="FU232" s="48"/>
      <c r="FV232" s="48"/>
      <c r="FW232" s="48"/>
      <c r="FX232" s="48"/>
      <c r="FY232" s="48"/>
      <c r="FZ232" s="48"/>
      <c r="GA232" s="48"/>
      <c r="GB232" s="48"/>
      <c r="GC232" s="48"/>
      <c r="GD232" s="48"/>
      <c r="GE232" s="48"/>
      <c r="GF232" s="48"/>
      <c r="GG232" s="48"/>
      <c r="GH232" s="48"/>
      <c r="GI232" s="48"/>
      <c r="GJ232" s="48"/>
      <c r="GK232" s="48"/>
      <c r="GL232" s="48"/>
      <c r="GM232" s="48"/>
      <c r="GN232" s="48"/>
      <c r="GO232" s="48"/>
      <c r="GP232" s="48"/>
      <c r="GQ232" s="48"/>
      <c r="GR232" s="48"/>
      <c r="GS232" s="48"/>
      <c r="GT232" s="48"/>
      <c r="GU232" s="48"/>
      <c r="GV232" s="48"/>
      <c r="GW232" s="48"/>
      <c r="GX232" s="48"/>
      <c r="GY232" s="48"/>
      <c r="GZ232" s="48"/>
      <c r="HA232" s="48"/>
      <c r="HB232" s="48"/>
      <c r="HC232" s="48"/>
      <c r="HD232" s="48"/>
      <c r="HE232" s="48"/>
      <c r="HF232" s="48"/>
      <c r="HG232" s="48"/>
      <c r="HH232" s="48"/>
      <c r="HI232" s="48"/>
      <c r="HJ232" s="48"/>
      <c r="HK232" s="48"/>
      <c r="HL232" s="48"/>
      <c r="HM232" s="48"/>
      <c r="HN232" s="48"/>
      <c r="HO232" s="48"/>
      <c r="HP232" s="48"/>
      <c r="HQ232" s="48"/>
      <c r="HR232" s="48"/>
      <c r="HS232" s="48"/>
      <c r="HT232" s="48"/>
      <c r="HU232" s="48"/>
      <c r="HV232" s="48"/>
      <c r="HW232" s="48"/>
      <c r="HX232" s="48"/>
      <c r="HY232" s="48"/>
      <c r="HZ232" s="48"/>
      <c r="IA232" s="48"/>
      <c r="IB232" s="48"/>
      <c r="IC232" s="48"/>
      <c r="ID232" s="48"/>
      <c r="IE232" s="48"/>
      <c r="IF232" s="48"/>
      <c r="IG232" s="48"/>
      <c r="IH232" s="48"/>
      <c r="II232" s="48"/>
      <c r="IJ232" s="48"/>
      <c r="IK232" s="48"/>
      <c r="IL232" s="48"/>
      <c r="IM232" s="48"/>
      <c r="IN232" s="48"/>
      <c r="IO232" s="48"/>
      <c r="IP232" s="48"/>
      <c r="IQ232" s="48"/>
      <c r="IR232" s="48"/>
      <c r="IS232" s="48"/>
      <c r="IT232" s="48"/>
      <c r="IU232" s="48"/>
      <c r="IV232" s="48"/>
      <c r="IW232" s="48"/>
      <c r="IX232" s="48"/>
      <c r="IY232" s="48"/>
      <c r="IZ232" s="48"/>
      <c r="JA232" s="48"/>
      <c r="JB232" s="48"/>
      <c r="JC232" s="48"/>
      <c r="JD232" s="48"/>
      <c r="JE232" s="48"/>
      <c r="JF232" s="48"/>
      <c r="JG232" s="48"/>
      <c r="JH232" s="48"/>
      <c r="JI232" s="48"/>
      <c r="JJ232" s="48"/>
      <c r="JK232" s="48"/>
      <c r="JL232" s="48"/>
      <c r="JM232" s="48"/>
      <c r="JN232" s="48"/>
      <c r="JO232" s="48"/>
      <c r="JP232" s="48"/>
      <c r="JQ232" s="48"/>
      <c r="JR232" s="48"/>
      <c r="JS232" s="48"/>
      <c r="JT232" s="48"/>
      <c r="JU232" s="48"/>
      <c r="JV232" s="48"/>
      <c r="JW232" s="48"/>
      <c r="JX232" s="48"/>
      <c r="JY232" s="48"/>
      <c r="JZ232" s="48"/>
      <c r="KA232" s="48"/>
      <c r="KB232" s="48"/>
      <c r="KC232" s="48"/>
      <c r="KD232" s="48"/>
      <c r="KE232" s="48"/>
      <c r="KF232" s="48"/>
      <c r="KG232" s="48"/>
      <c r="KH232" s="48"/>
      <c r="KI232" s="48"/>
      <c r="KJ232" s="48"/>
      <c r="KK232" s="48"/>
      <c r="KL232" s="48"/>
      <c r="KM232" s="48"/>
      <c r="KN232" s="48"/>
      <c r="KO232" s="48"/>
      <c r="KP232" s="48"/>
      <c r="KQ232" s="48"/>
      <c r="KR232" s="48"/>
      <c r="KS232" s="48"/>
      <c r="KT232" s="48"/>
      <c r="KU232" s="48"/>
      <c r="KV232" s="48"/>
      <c r="KW232" s="48"/>
      <c r="KX232" s="48"/>
      <c r="KY232" s="48"/>
      <c r="KZ232" s="48"/>
      <c r="LA232" s="48"/>
      <c r="LB232" s="48"/>
      <c r="LC232" s="48"/>
      <c r="LD232" s="48"/>
      <c r="LE232" s="48"/>
      <c r="LF232" s="48"/>
      <c r="LG232" s="48"/>
      <c r="LH232" s="48"/>
      <c r="LI232" s="48"/>
      <c r="LJ232" s="48"/>
      <c r="LK232" s="48"/>
      <c r="LL232" s="48"/>
      <c r="LM232" s="48"/>
      <c r="LN232" s="48"/>
      <c r="LO232" s="48"/>
      <c r="LP232" s="48"/>
      <c r="LQ232" s="48"/>
      <c r="LR232" s="48"/>
      <c r="LS232" s="48"/>
      <c r="LT232" s="48"/>
      <c r="LU232" s="48"/>
      <c r="LV232" s="48"/>
      <c r="LW232" s="48"/>
      <c r="LX232" s="48"/>
      <c r="LY232" s="48"/>
      <c r="LZ232" s="48"/>
      <c r="MA232" s="48"/>
      <c r="MB232" s="48"/>
      <c r="MC232" s="48"/>
      <c r="MD232" s="48"/>
      <c r="ME232" s="48"/>
      <c r="MF232" s="48"/>
      <c r="MG232" s="48"/>
      <c r="MH232" s="48"/>
      <c r="MI232" s="48"/>
      <c r="MJ232" s="48"/>
      <c r="MK232" s="48"/>
      <c r="ML232" s="48"/>
      <c r="MM232" s="48"/>
      <c r="MN232" s="48"/>
      <c r="MO232" s="48"/>
      <c r="MP232" s="48"/>
      <c r="MQ232" s="48"/>
      <c r="MR232" s="48"/>
      <c r="MS232" s="48"/>
      <c r="MT232" s="48"/>
      <c r="MU232" s="48"/>
      <c r="MV232" s="48"/>
      <c r="MW232" s="48"/>
      <c r="MX232" s="48"/>
      <c r="MY232" s="48"/>
      <c r="MZ232" s="48"/>
      <c r="NA232" s="48"/>
      <c r="NB232" s="48"/>
      <c r="NC232" s="48"/>
      <c r="ND232" s="48"/>
      <c r="NE232" s="48"/>
      <c r="NF232" s="48"/>
      <c r="NG232" s="48"/>
      <c r="NH232" s="48"/>
      <c r="NI232" s="48"/>
      <c r="NJ232" s="48"/>
      <c r="NK232" s="48"/>
      <c r="NL232" s="48"/>
      <c r="NM232" s="48"/>
      <c r="NN232" s="48"/>
      <c r="NO232" s="48"/>
      <c r="NP232" s="48"/>
      <c r="NQ232" s="48"/>
      <c r="NR232" s="48"/>
      <c r="NS232" s="48"/>
      <c r="NT232" s="48"/>
      <c r="NU232" s="48"/>
      <c r="NV232" s="48"/>
      <c r="NW232" s="48"/>
      <c r="NX232" s="48"/>
      <c r="NY232" s="48"/>
      <c r="NZ232" s="48"/>
      <c r="OA232" s="48"/>
      <c r="OB232" s="48"/>
      <c r="OC232" s="48"/>
      <c r="OD232" s="48"/>
      <c r="OE232" s="48"/>
      <c r="OF232" s="48"/>
      <c r="OG232" s="48"/>
      <c r="OH232" s="48"/>
      <c r="OI232" s="48"/>
      <c r="OJ232" s="48"/>
      <c r="OK232" s="48"/>
      <c r="OL232" s="48"/>
      <c r="OM232" s="48"/>
      <c r="ON232" s="48"/>
      <c r="OO232" s="48"/>
      <c r="OP232" s="48"/>
      <c r="OQ232" s="48"/>
      <c r="OR232" s="48"/>
      <c r="OS232" s="48"/>
      <c r="OT232" s="48"/>
      <c r="OU232" s="48"/>
      <c r="OV232" s="48"/>
      <c r="OW232" s="48"/>
      <c r="OX232" s="48"/>
      <c r="OY232" s="48"/>
      <c r="OZ232" s="48"/>
      <c r="PA232" s="48"/>
      <c r="PB232" s="48"/>
      <c r="PC232" s="48"/>
      <c r="PD232" s="48"/>
      <c r="PE232" s="48"/>
      <c r="PF232" s="48"/>
      <c r="PG232" s="48"/>
      <c r="PH232" s="48"/>
      <c r="PI232" s="48"/>
      <c r="PJ232" s="48"/>
      <c r="PK232" s="48"/>
      <c r="PL232" s="48"/>
      <c r="PM232" s="48"/>
      <c r="PN232" s="48"/>
      <c r="PO232" s="48"/>
      <c r="PP232" s="48"/>
      <c r="PQ232" s="48"/>
      <c r="PR232" s="48"/>
      <c r="PS232" s="48"/>
      <c r="PT232" s="48"/>
      <c r="PU232" s="48"/>
      <c r="PV232" s="48"/>
      <c r="PW232" s="48"/>
      <c r="PX232" s="48"/>
      <c r="PY232" s="48"/>
      <c r="PZ232" s="48"/>
      <c r="QA232" s="48"/>
      <c r="QB232" s="48"/>
      <c r="QC232" s="48"/>
      <c r="QD232" s="48"/>
      <c r="QE232" s="48"/>
      <c r="QF232" s="48"/>
      <c r="QG232" s="48"/>
      <c r="QH232" s="48"/>
      <c r="QI232" s="48"/>
      <c r="QJ232" s="48"/>
      <c r="QK232" s="48"/>
      <c r="QL232" s="48"/>
      <c r="QM232" s="48"/>
      <c r="QN232" s="48"/>
      <c r="QO232" s="48"/>
      <c r="QP232" s="48"/>
      <c r="QQ232" s="48"/>
      <c r="QR232" s="48"/>
      <c r="QS232" s="48"/>
      <c r="QT232" s="48"/>
      <c r="QU232" s="48"/>
      <c r="QV232" s="48"/>
      <c r="QW232" s="48"/>
      <c r="QX232" s="48"/>
      <c r="QY232" s="48"/>
      <c r="QZ232" s="48"/>
      <c r="RA232" s="48"/>
      <c r="RB232" s="48"/>
      <c r="RC232" s="48"/>
      <c r="RD232" s="48"/>
      <c r="RE232" s="48"/>
      <c r="RF232" s="48"/>
      <c r="RG232" s="48"/>
      <c r="RH232" s="48"/>
      <c r="RI232" s="48"/>
      <c r="RJ232" s="48"/>
      <c r="RK232" s="48"/>
      <c r="RL232" s="48"/>
      <c r="RM232" s="48"/>
      <c r="RN232" s="48"/>
      <c r="RO232" s="48"/>
      <c r="RP232" s="48"/>
      <c r="RQ232" s="48"/>
      <c r="RR232" s="48"/>
      <c r="RS232" s="48"/>
      <c r="RT232" s="48"/>
      <c r="RU232" s="48"/>
      <c r="RV232" s="48"/>
      <c r="RW232" s="48"/>
      <c r="RX232" s="48"/>
      <c r="RY232" s="48"/>
      <c r="RZ232" s="48"/>
      <c r="SA232" s="48"/>
      <c r="SB232" s="48"/>
      <c r="SC232" s="48"/>
      <c r="SD232" s="48"/>
      <c r="SE232" s="48"/>
      <c r="SF232" s="48"/>
      <c r="SG232" s="48"/>
      <c r="SH232" s="48"/>
      <c r="SI232" s="48"/>
      <c r="SJ232" s="48"/>
      <c r="SK232" s="48"/>
      <c r="SL232" s="48"/>
      <c r="SM232" s="48"/>
      <c r="SN232" s="48"/>
      <c r="SO232" s="48"/>
      <c r="SP232" s="48"/>
      <c r="SQ232" s="48"/>
      <c r="SR232" s="48"/>
      <c r="SS232" s="48"/>
      <c r="ST232" s="48"/>
      <c r="SU232" s="48"/>
      <c r="SV232" s="48"/>
      <c r="SW232" s="48"/>
      <c r="SX232" s="48"/>
      <c r="SY232" s="48"/>
      <c r="SZ232" s="48"/>
      <c r="TA232" s="48"/>
      <c r="TB232" s="48"/>
      <c r="TC232" s="48"/>
      <c r="TD232" s="48"/>
      <c r="TE232" s="48"/>
      <c r="TF232" s="48"/>
      <c r="TG232" s="48"/>
      <c r="TH232" s="48"/>
      <c r="TI232" s="48"/>
      <c r="TJ232" s="48"/>
      <c r="TK232" s="48"/>
      <c r="TL232" s="48"/>
      <c r="TM232" s="48"/>
      <c r="TN232" s="48"/>
      <c r="TO232" s="48"/>
      <c r="TP232" s="48"/>
      <c r="TQ232" s="48"/>
      <c r="TR232" s="48"/>
      <c r="TS232" s="48"/>
      <c r="TT232" s="48"/>
      <c r="TU232" s="48"/>
      <c r="TV232" s="48"/>
      <c r="TW232" s="48"/>
      <c r="TX232" s="48"/>
      <c r="TY232" s="48"/>
      <c r="TZ232" s="48"/>
      <c r="UA232" s="48"/>
      <c r="UB232" s="48"/>
      <c r="UC232" s="48"/>
      <c r="UD232" s="48"/>
      <c r="UE232" s="48"/>
      <c r="UF232" s="48"/>
      <c r="UG232" s="48"/>
      <c r="UH232" s="48"/>
      <c r="UI232" s="48"/>
      <c r="UJ232" s="48"/>
      <c r="UK232" s="48"/>
      <c r="UL232" s="48"/>
      <c r="UM232" s="48"/>
      <c r="UN232" s="48"/>
      <c r="UO232" s="48"/>
      <c r="UP232" s="48"/>
      <c r="UQ232" s="48"/>
      <c r="UR232" s="48"/>
      <c r="US232" s="48"/>
      <c r="UT232" s="48"/>
      <c r="UU232" s="48"/>
      <c r="UV232" s="48"/>
      <c r="UW232" s="48"/>
      <c r="UX232" s="48"/>
      <c r="UY232" s="48"/>
      <c r="UZ232" s="48"/>
      <c r="VA232" s="48"/>
      <c r="VB232" s="48"/>
      <c r="VC232" s="48"/>
      <c r="VD232" s="48"/>
      <c r="VE232" s="48"/>
      <c r="VF232" s="48"/>
      <c r="VG232" s="48"/>
      <c r="VH232" s="48"/>
      <c r="VI232" s="48"/>
      <c r="VJ232" s="48"/>
      <c r="VK232" s="48"/>
      <c r="VL232" s="48"/>
      <c r="VM232" s="48"/>
      <c r="VN232" s="48"/>
      <c r="VO232" s="48"/>
      <c r="VP232" s="48"/>
      <c r="VQ232" s="48"/>
      <c r="VR232" s="48"/>
      <c r="VS232" s="48"/>
      <c r="VT232" s="48"/>
      <c r="VU232" s="48"/>
      <c r="VV232" s="48"/>
      <c r="VW232" s="48"/>
      <c r="VX232" s="48"/>
      <c r="VY232" s="48"/>
      <c r="VZ232" s="48"/>
      <c r="WA232" s="48"/>
      <c r="WB232" s="48"/>
      <c r="WC232" s="48"/>
      <c r="WD232" s="48"/>
      <c r="WE232" s="48"/>
      <c r="WF232" s="48"/>
      <c r="WG232" s="48"/>
      <c r="WH232" s="48"/>
      <c r="WI232" s="48"/>
      <c r="WJ232" s="48"/>
      <c r="WK232" s="48"/>
      <c r="WL232" s="48"/>
      <c r="WM232" s="48"/>
      <c r="WN232" s="48"/>
      <c r="WO232" s="48"/>
      <c r="WP232" s="48"/>
      <c r="WQ232" s="48"/>
      <c r="WR232" s="48"/>
      <c r="WS232" s="48"/>
      <c r="WT232" s="48"/>
      <c r="WU232" s="48"/>
      <c r="WV232" s="48"/>
      <c r="WW232" s="48"/>
      <c r="WX232" s="48"/>
      <c r="WY232" s="48"/>
      <c r="WZ232" s="48"/>
      <c r="XA232" s="48"/>
      <c r="XB232" s="48"/>
      <c r="XC232" s="48"/>
      <c r="XD232" s="48"/>
      <c r="XE232" s="48"/>
      <c r="XF232" s="48"/>
      <c r="XG232" s="48"/>
      <c r="XH232" s="48"/>
      <c r="XI232" s="48"/>
      <c r="XJ232" s="48"/>
      <c r="XK232" s="48"/>
      <c r="XL232" s="48"/>
      <c r="XM232" s="48"/>
      <c r="XN232" s="48"/>
      <c r="XO232" s="48"/>
      <c r="XP232" s="48"/>
      <c r="XQ232" s="48"/>
      <c r="XR232" s="48"/>
      <c r="XS232" s="48"/>
      <c r="XT232" s="48"/>
      <c r="XU232" s="48"/>
      <c r="XV232" s="48"/>
      <c r="XW232" s="48"/>
      <c r="XX232" s="48"/>
      <c r="XY232" s="48"/>
      <c r="XZ232" s="48"/>
      <c r="YA232" s="48"/>
      <c r="YB232" s="48"/>
      <c r="YC232" s="48"/>
      <c r="YD232" s="48"/>
      <c r="YE232" s="48"/>
      <c r="YF232" s="48"/>
      <c r="YG232" s="48"/>
      <c r="YH232" s="48"/>
      <c r="YI232" s="48"/>
      <c r="YJ232" s="48"/>
      <c r="YK232" s="48"/>
      <c r="YL232" s="48"/>
      <c r="YM232" s="48"/>
      <c r="YN232" s="48"/>
      <c r="YO232" s="48"/>
      <c r="YP232" s="48"/>
      <c r="YQ232" s="48"/>
      <c r="YR232" s="48"/>
      <c r="YS232" s="48"/>
      <c r="YT232" s="48"/>
      <c r="YU232" s="48"/>
      <c r="YV232" s="48"/>
      <c r="YW232" s="48"/>
      <c r="YX232" s="48"/>
      <c r="YY232" s="48"/>
      <c r="YZ232" s="48"/>
      <c r="ZA232" s="48"/>
      <c r="ZB232" s="48"/>
      <c r="ZC232" s="48"/>
      <c r="ZD232" s="48"/>
      <c r="ZE232" s="48"/>
      <c r="ZF232" s="48"/>
      <c r="ZG232" s="48"/>
      <c r="ZH232" s="48"/>
      <c r="ZI232" s="48"/>
      <c r="ZJ232" s="48"/>
      <c r="ZK232" s="48"/>
      <c r="ZL232" s="48"/>
      <c r="ZM232" s="48"/>
      <c r="ZN232" s="48"/>
      <c r="ZO232" s="48"/>
      <c r="ZP232" s="48"/>
      <c r="ZQ232" s="48"/>
      <c r="ZR232" s="48"/>
      <c r="ZS232" s="48"/>
      <c r="ZT232" s="48"/>
      <c r="ZU232" s="48"/>
      <c r="ZV232" s="48"/>
      <c r="ZW232" s="48"/>
      <c r="ZX232" s="48"/>
      <c r="ZY232" s="48"/>
      <c r="ZZ232" s="48"/>
      <c r="AAA232" s="48"/>
      <c r="AAB232" s="48"/>
      <c r="AAC232" s="48"/>
      <c r="AAD232" s="48"/>
      <c r="AAE232" s="48"/>
      <c r="AAF232" s="48"/>
      <c r="AAG232" s="48"/>
      <c r="AAH232" s="48"/>
      <c r="AAI232" s="48"/>
      <c r="AAJ232" s="48"/>
      <c r="AAK232" s="48"/>
      <c r="AAL232" s="48"/>
      <c r="AAM232" s="48"/>
      <c r="AAN232" s="48"/>
      <c r="AAO232" s="48"/>
      <c r="AAP232" s="48"/>
      <c r="AAQ232" s="48"/>
      <c r="AAR232" s="48"/>
      <c r="AAS232" s="48"/>
      <c r="AAT232" s="48"/>
      <c r="AAU232" s="48"/>
      <c r="AAV232" s="48"/>
      <c r="AAW232" s="48"/>
      <c r="AAX232" s="48"/>
      <c r="AAY232" s="48"/>
      <c r="AAZ232" s="48"/>
      <c r="ABA232" s="48"/>
      <c r="ABB232" s="48"/>
      <c r="ABC232" s="48"/>
      <c r="ABD232" s="48"/>
      <c r="ABE232" s="48"/>
      <c r="ABF232" s="48"/>
      <c r="ABG232" s="48"/>
      <c r="ABH232" s="48"/>
      <c r="ABI232" s="48"/>
      <c r="ABJ232" s="48"/>
      <c r="ABK232" s="48"/>
      <c r="ABL232" s="48"/>
      <c r="ABM232" s="48"/>
      <c r="ABN232" s="48"/>
      <c r="ABO232" s="48"/>
      <c r="ABP232" s="48"/>
      <c r="ABQ232" s="48"/>
      <c r="ABR232" s="48"/>
      <c r="ABS232" s="48"/>
      <c r="ABT232" s="48"/>
      <c r="ABU232" s="48"/>
      <c r="ABV232" s="48"/>
      <c r="ABW232" s="48"/>
      <c r="ABX232" s="48"/>
      <c r="ABY232" s="48"/>
      <c r="ABZ232" s="48"/>
      <c r="ACA232" s="48"/>
      <c r="ACB232" s="48"/>
      <c r="ACC232" s="48"/>
      <c r="ACD232" s="48"/>
      <c r="ACE232" s="48"/>
      <c r="ACF232" s="48"/>
      <c r="ACG232" s="48"/>
      <c r="ACH232" s="48"/>
      <c r="ACI232" s="48"/>
      <c r="ACJ232" s="48"/>
      <c r="ACK232" s="48"/>
      <c r="ACL232" s="48"/>
      <c r="ACM232" s="48"/>
      <c r="ACN232" s="48"/>
      <c r="ACO232" s="48"/>
      <c r="ACP232" s="48"/>
      <c r="ACQ232" s="48"/>
      <c r="ACR232" s="48"/>
      <c r="ACS232" s="48"/>
      <c r="ACT232" s="48"/>
      <c r="ACU232" s="48"/>
      <c r="ACV232" s="48"/>
      <c r="ACW232" s="48"/>
      <c r="ACX232" s="48"/>
      <c r="ACY232" s="48"/>
      <c r="ACZ232" s="48"/>
      <c r="ADA232" s="48"/>
      <c r="ADB232" s="48"/>
      <c r="ADC232" s="48"/>
      <c r="ADD232" s="48"/>
      <c r="ADE232" s="48"/>
      <c r="ADF232" s="48"/>
      <c r="ADG232" s="48"/>
      <c r="ADH232" s="48"/>
      <c r="ADI232" s="48"/>
      <c r="ADJ232" s="48"/>
      <c r="ADK232" s="48"/>
      <c r="ADL232" s="48"/>
      <c r="ADM232" s="48"/>
      <c r="ADN232" s="48"/>
      <c r="ADO232" s="48"/>
      <c r="ADP232" s="48"/>
      <c r="ADQ232" s="48"/>
      <c r="ADR232" s="48"/>
      <c r="ADS232" s="48"/>
      <c r="ADT232" s="48"/>
      <c r="ADU232" s="48"/>
      <c r="ADV232" s="48"/>
      <c r="ADW232" s="48"/>
      <c r="ADX232" s="48"/>
      <c r="ADY232" s="48"/>
      <c r="ADZ232" s="48"/>
      <c r="AEA232" s="48"/>
      <c r="AEB232" s="48"/>
      <c r="AEC232" s="48"/>
      <c r="AED232" s="48"/>
      <c r="AEE232" s="48"/>
      <c r="AEF232" s="48"/>
      <c r="AEG232" s="48"/>
      <c r="AEH232" s="48"/>
      <c r="AEI232" s="48"/>
      <c r="AEJ232" s="48"/>
      <c r="AEK232" s="48"/>
      <c r="AEL232" s="48"/>
      <c r="AEM232" s="48"/>
      <c r="AEN232" s="48"/>
      <c r="AEO232" s="48"/>
      <c r="AEP232" s="48"/>
      <c r="AEQ232" s="48"/>
      <c r="AER232" s="48"/>
      <c r="AES232" s="48"/>
      <c r="AET232" s="48"/>
      <c r="AEU232" s="48"/>
      <c r="AEV232" s="48"/>
      <c r="AEW232" s="48"/>
      <c r="AEX232" s="48"/>
      <c r="AEY232" s="48"/>
      <c r="AEZ232" s="48"/>
      <c r="AFA232" s="48"/>
      <c r="AFB232" s="48"/>
      <c r="AFC232" s="48"/>
      <c r="AFD232" s="48"/>
      <c r="AFE232" s="48"/>
      <c r="AFF232" s="48"/>
      <c r="AFG232" s="48"/>
      <c r="AFH232" s="48"/>
      <c r="AFI232" s="48"/>
      <c r="AFJ232" s="48"/>
      <c r="AFK232" s="48"/>
      <c r="AFL232" s="48"/>
      <c r="AFM232" s="48"/>
      <c r="AFN232" s="48"/>
      <c r="AFO232" s="48"/>
      <c r="AFP232" s="48"/>
      <c r="AFQ232" s="48"/>
      <c r="AFR232" s="48"/>
      <c r="AFS232" s="48"/>
      <c r="AFT232" s="48"/>
      <c r="AFU232" s="48"/>
      <c r="AFV232" s="48"/>
      <c r="AFW232" s="48"/>
      <c r="AFX232" s="48"/>
      <c r="AFY232" s="48"/>
      <c r="AFZ232" s="48"/>
      <c r="AGA232" s="48"/>
      <c r="AGB232" s="48"/>
      <c r="AGC232" s="48"/>
      <c r="AGD232" s="48"/>
      <c r="AGE232" s="48"/>
      <c r="AGF232" s="48"/>
      <c r="AGG232" s="48"/>
      <c r="AGH232" s="48"/>
      <c r="AGI232" s="48"/>
      <c r="AGJ232" s="48"/>
      <c r="AGK232" s="48"/>
      <c r="AGL232" s="48"/>
      <c r="AGM232" s="48"/>
      <c r="AGN232" s="48"/>
      <c r="AGO232" s="48"/>
      <c r="AGP232" s="48"/>
      <c r="AGQ232" s="48"/>
      <c r="AGR232" s="48"/>
      <c r="AGS232" s="48"/>
      <c r="AGT232" s="48"/>
      <c r="AGU232" s="48"/>
      <c r="AGV232" s="48"/>
      <c r="AGW232" s="48"/>
      <c r="AGX232" s="48"/>
      <c r="AGY232" s="48"/>
      <c r="AGZ232" s="48"/>
      <c r="AHA232" s="48"/>
      <c r="AHB232" s="48"/>
      <c r="AHC232" s="48"/>
      <c r="AHD232" s="48"/>
      <c r="AHE232" s="48"/>
      <c r="AHF232" s="48"/>
      <c r="AHG232" s="48"/>
      <c r="AHH232" s="48"/>
      <c r="AHI232" s="48"/>
      <c r="AHJ232" s="48"/>
      <c r="AHK232" s="48"/>
      <c r="AHL232" s="48"/>
      <c r="AHM232" s="48"/>
      <c r="AHN232" s="48"/>
      <c r="AHO232" s="48"/>
      <c r="AHP232" s="48"/>
      <c r="AHQ232" s="48"/>
      <c r="AHR232" s="48"/>
      <c r="AHS232" s="48"/>
      <c r="AHT232" s="48"/>
      <c r="AHU232" s="48"/>
      <c r="AHV232" s="48"/>
      <c r="AHW232" s="48"/>
      <c r="AHX232" s="48"/>
      <c r="AHY232" s="48"/>
      <c r="AHZ232" s="48"/>
      <c r="AIA232" s="48"/>
      <c r="AIB232" s="48"/>
      <c r="AIC232" s="48"/>
      <c r="AID232" s="48"/>
      <c r="AIE232" s="48"/>
      <c r="AIF232" s="48"/>
      <c r="AIG232" s="48"/>
      <c r="AIH232" s="48"/>
      <c r="AII232" s="48"/>
      <c r="AIJ232" s="48"/>
      <c r="AIK232" s="48"/>
      <c r="AIL232" s="48"/>
      <c r="AIM232" s="48"/>
      <c r="AIN232" s="48"/>
      <c r="AIO232" s="48"/>
      <c r="AIP232" s="48"/>
      <c r="AIQ232" s="48"/>
      <c r="AIR232" s="48"/>
      <c r="AIS232" s="48"/>
      <c r="AIT232" s="48"/>
      <c r="AIU232" s="48"/>
      <c r="AIV232" s="48"/>
      <c r="AIW232" s="48"/>
      <c r="AIX232" s="48"/>
      <c r="AIY232" s="48"/>
      <c r="AIZ232" s="48"/>
      <c r="AJA232" s="48"/>
      <c r="AJB232" s="48"/>
      <c r="AJC232" s="48"/>
      <c r="AJD232" s="48"/>
      <c r="AJE232" s="48"/>
      <c r="AJF232" s="48"/>
      <c r="AJG232" s="48"/>
      <c r="AJH232" s="48"/>
      <c r="AJI232" s="48"/>
      <c r="AJJ232" s="48"/>
      <c r="AJK232" s="48"/>
      <c r="AJL232" s="48"/>
      <c r="AJM232" s="48"/>
      <c r="AJN232" s="48"/>
      <c r="AJO232" s="48"/>
      <c r="AJP232" s="48"/>
      <c r="AJQ232" s="48"/>
      <c r="AJR232" s="48"/>
      <c r="AJS232" s="48"/>
      <c r="AJT232" s="48"/>
      <c r="AJU232" s="48"/>
      <c r="AJV232" s="48"/>
      <c r="AJW232" s="48"/>
      <c r="AJX232" s="48"/>
      <c r="AJY232" s="48"/>
      <c r="AJZ232" s="48"/>
      <c r="AKA232" s="48"/>
      <c r="AKB232" s="48"/>
      <c r="AKC232" s="48"/>
      <c r="AKD232" s="48"/>
      <c r="AKE232" s="48"/>
      <c r="AKF232" s="48"/>
      <c r="AKG232" s="48"/>
      <c r="AKH232" s="48"/>
      <c r="AKI232" s="48"/>
      <c r="AKJ232" s="48"/>
      <c r="AKK232" s="48"/>
      <c r="AKL232" s="48"/>
      <c r="AKM232" s="48"/>
      <c r="AKN232" s="48"/>
      <c r="AKO232" s="48"/>
      <c r="AKP232" s="48"/>
      <c r="AKQ232" s="48"/>
      <c r="AKR232" s="48"/>
      <c r="AKS232" s="48"/>
      <c r="AKT232" s="48"/>
      <c r="AKU232" s="48"/>
      <c r="AKV232" s="48"/>
      <c r="AKW232" s="48"/>
      <c r="AKX232" s="48"/>
      <c r="AKY232" s="48"/>
      <c r="AKZ232" s="48"/>
      <c r="ALA232" s="48"/>
      <c r="ALB232" s="48"/>
      <c r="ALC232" s="48"/>
      <c r="ALD232" s="48"/>
      <c r="ALE232" s="48"/>
      <c r="ALF232" s="48"/>
      <c r="ALG232" s="48"/>
      <c r="ALH232" s="48"/>
      <c r="ALI232" s="48"/>
      <c r="ALJ232" s="48"/>
      <c r="ALK232" s="48"/>
      <c r="ALL232" s="48"/>
      <c r="ALM232" s="48"/>
      <c r="ALN232" s="48"/>
      <c r="ALO232" s="48"/>
      <c r="ALP232" s="48"/>
      <c r="ALQ232" s="48"/>
      <c r="ALR232" s="48"/>
      <c r="ALS232" s="48"/>
      <c r="ALT232" s="48"/>
      <c r="ALU232" s="48"/>
      <c r="ALV232" s="48"/>
      <c r="ALW232" s="48"/>
      <c r="ALX232" s="48"/>
      <c r="ALY232" s="48"/>
      <c r="ALZ232" s="48"/>
      <c r="AMA232" s="48"/>
      <c r="AMB232" s="48"/>
      <c r="AMC232" s="48"/>
      <c r="AMD232" s="48"/>
      <c r="AME232" s="48"/>
      <c r="AMF232" s="48"/>
      <c r="AMG232" s="48"/>
      <c r="AMH232" s="48"/>
      <c r="AMI232" s="48"/>
      <c r="AMJ232" s="48"/>
      <c r="AMK232" s="48"/>
    </row>
    <row r="233" spans="1:1025" s="80" customFormat="1" x14ac:dyDescent="0.25">
      <c r="A233" s="103" t="s">
        <v>546</v>
      </c>
      <c r="B233" s="54" t="s">
        <v>129</v>
      </c>
      <c r="C233" s="55">
        <v>10.6</v>
      </c>
      <c r="D233" s="55">
        <v>13.2</v>
      </c>
      <c r="E233" s="55">
        <v>39.200000000000003</v>
      </c>
      <c r="F233" s="55">
        <v>317</v>
      </c>
      <c r="G233" s="55">
        <v>108.96</v>
      </c>
      <c r="H233" s="55">
        <v>29.7</v>
      </c>
      <c r="I233" s="55">
        <v>0.63</v>
      </c>
      <c r="J233" s="55">
        <v>0.44</v>
      </c>
      <c r="K233" s="102" t="s">
        <v>133</v>
      </c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  <c r="BE233" s="48"/>
      <c r="BF233" s="48"/>
      <c r="BG233" s="48"/>
      <c r="BH233" s="48"/>
      <c r="BI233" s="48"/>
      <c r="BJ233" s="48"/>
      <c r="BK233" s="48"/>
      <c r="BL233" s="48"/>
      <c r="BM233" s="48"/>
      <c r="BN233" s="48"/>
      <c r="BO233" s="48"/>
      <c r="BP233" s="48"/>
      <c r="BQ233" s="48"/>
      <c r="BR233" s="48"/>
      <c r="BS233" s="48"/>
      <c r="BT233" s="48"/>
      <c r="BU233" s="48"/>
      <c r="BV233" s="48"/>
      <c r="BW233" s="48"/>
      <c r="BX233" s="48"/>
      <c r="BY233" s="48"/>
      <c r="BZ233" s="48"/>
      <c r="CA233" s="48"/>
      <c r="CB233" s="48"/>
      <c r="CC233" s="48"/>
      <c r="CD233" s="48"/>
      <c r="CE233" s="48"/>
      <c r="CF233" s="48"/>
      <c r="CG233" s="48"/>
      <c r="CH233" s="48"/>
      <c r="CI233" s="48"/>
      <c r="CJ233" s="48"/>
      <c r="CK233" s="48"/>
      <c r="CL233" s="48"/>
      <c r="CM233" s="48"/>
      <c r="CN233" s="48"/>
      <c r="CO233" s="48"/>
      <c r="CP233" s="48"/>
      <c r="CQ233" s="48"/>
      <c r="CR233" s="48"/>
      <c r="CS233" s="48"/>
      <c r="CT233" s="48"/>
      <c r="CU233" s="48"/>
      <c r="CV233" s="48"/>
      <c r="CW233" s="48"/>
      <c r="CX233" s="48"/>
      <c r="CY233" s="48"/>
      <c r="CZ233" s="48"/>
      <c r="DA233" s="48"/>
      <c r="DB233" s="48"/>
      <c r="DC233" s="48"/>
      <c r="DD233" s="48"/>
      <c r="DE233" s="48"/>
      <c r="DF233" s="48"/>
      <c r="DG233" s="48"/>
      <c r="DH233" s="48"/>
      <c r="DI233" s="48"/>
      <c r="DJ233" s="48"/>
      <c r="DK233" s="48"/>
      <c r="DL233" s="48"/>
      <c r="DM233" s="48"/>
      <c r="DN233" s="48"/>
      <c r="DO233" s="48"/>
      <c r="DP233" s="48"/>
      <c r="DQ233" s="48"/>
      <c r="DR233" s="48"/>
      <c r="DS233" s="48"/>
      <c r="DT233" s="48"/>
      <c r="DU233" s="48"/>
      <c r="DV233" s="48"/>
      <c r="DW233" s="48"/>
      <c r="DX233" s="48"/>
      <c r="DY233" s="48"/>
      <c r="DZ233" s="48"/>
      <c r="EA233" s="48"/>
      <c r="EB233" s="48"/>
      <c r="EC233" s="48"/>
      <c r="ED233" s="48"/>
      <c r="EE233" s="48"/>
      <c r="EF233" s="48"/>
      <c r="EG233" s="48"/>
      <c r="EH233" s="48"/>
      <c r="EI233" s="48"/>
      <c r="EJ233" s="48"/>
      <c r="EK233" s="48"/>
      <c r="EL233" s="48"/>
      <c r="EM233" s="48"/>
      <c r="EN233" s="48"/>
      <c r="EO233" s="48"/>
      <c r="EP233" s="48"/>
      <c r="EQ233" s="48"/>
      <c r="ER233" s="48"/>
      <c r="ES233" s="48"/>
      <c r="ET233" s="48"/>
      <c r="EU233" s="48"/>
      <c r="EV233" s="48"/>
      <c r="EW233" s="48"/>
      <c r="EX233" s="48"/>
      <c r="EY233" s="48"/>
      <c r="EZ233" s="48"/>
      <c r="FA233" s="48"/>
      <c r="FB233" s="48"/>
      <c r="FC233" s="48"/>
      <c r="FD233" s="48"/>
      <c r="FE233" s="48"/>
      <c r="FF233" s="48"/>
      <c r="FG233" s="48"/>
      <c r="FH233" s="48"/>
      <c r="FI233" s="48"/>
      <c r="FJ233" s="48"/>
      <c r="FK233" s="48"/>
      <c r="FL233" s="48"/>
      <c r="FM233" s="48"/>
      <c r="FN233" s="48"/>
      <c r="FO233" s="48"/>
      <c r="FP233" s="48"/>
      <c r="FQ233" s="48"/>
      <c r="FR233" s="48"/>
      <c r="FS233" s="48"/>
      <c r="FT233" s="48"/>
      <c r="FU233" s="48"/>
      <c r="FV233" s="48"/>
      <c r="FW233" s="48"/>
      <c r="FX233" s="48"/>
      <c r="FY233" s="48"/>
      <c r="FZ233" s="48"/>
      <c r="GA233" s="48"/>
      <c r="GB233" s="48"/>
      <c r="GC233" s="48"/>
      <c r="GD233" s="48"/>
      <c r="GE233" s="48"/>
      <c r="GF233" s="48"/>
      <c r="GG233" s="48"/>
      <c r="GH233" s="48"/>
      <c r="GI233" s="48"/>
      <c r="GJ233" s="48"/>
      <c r="GK233" s="48"/>
      <c r="GL233" s="48"/>
      <c r="GM233" s="48"/>
      <c r="GN233" s="48"/>
      <c r="GO233" s="48"/>
      <c r="GP233" s="48"/>
      <c r="GQ233" s="48"/>
      <c r="GR233" s="48"/>
      <c r="GS233" s="48"/>
      <c r="GT233" s="48"/>
      <c r="GU233" s="48"/>
      <c r="GV233" s="48"/>
      <c r="GW233" s="48"/>
      <c r="GX233" s="48"/>
      <c r="GY233" s="48"/>
      <c r="GZ233" s="48"/>
      <c r="HA233" s="48"/>
      <c r="HB233" s="48"/>
      <c r="HC233" s="48"/>
      <c r="HD233" s="48"/>
      <c r="HE233" s="48"/>
      <c r="HF233" s="48"/>
      <c r="HG233" s="48"/>
      <c r="HH233" s="48"/>
      <c r="HI233" s="48"/>
      <c r="HJ233" s="48"/>
      <c r="HK233" s="48"/>
      <c r="HL233" s="48"/>
      <c r="HM233" s="48"/>
      <c r="HN233" s="48"/>
      <c r="HO233" s="48"/>
      <c r="HP233" s="48"/>
      <c r="HQ233" s="48"/>
      <c r="HR233" s="48"/>
      <c r="HS233" s="48"/>
      <c r="HT233" s="48"/>
      <c r="HU233" s="48"/>
      <c r="HV233" s="48"/>
      <c r="HW233" s="48"/>
      <c r="HX233" s="48"/>
      <c r="HY233" s="48"/>
      <c r="HZ233" s="48"/>
      <c r="IA233" s="48"/>
      <c r="IB233" s="48"/>
      <c r="IC233" s="48"/>
      <c r="ID233" s="48"/>
      <c r="IE233" s="48"/>
      <c r="IF233" s="48"/>
      <c r="IG233" s="48"/>
      <c r="IH233" s="48"/>
      <c r="II233" s="48"/>
      <c r="IJ233" s="48"/>
      <c r="IK233" s="48"/>
      <c r="IL233" s="48"/>
      <c r="IM233" s="48"/>
      <c r="IN233" s="48"/>
      <c r="IO233" s="48"/>
      <c r="IP233" s="48"/>
      <c r="IQ233" s="48"/>
      <c r="IR233" s="48"/>
      <c r="IS233" s="48"/>
      <c r="IT233" s="48"/>
      <c r="IU233" s="48"/>
      <c r="IV233" s="48"/>
      <c r="IW233" s="48"/>
      <c r="IX233" s="48"/>
      <c r="IY233" s="48"/>
      <c r="IZ233" s="48"/>
      <c r="JA233" s="48"/>
      <c r="JB233" s="48"/>
      <c r="JC233" s="48"/>
      <c r="JD233" s="48"/>
      <c r="JE233" s="48"/>
      <c r="JF233" s="48"/>
      <c r="JG233" s="48"/>
      <c r="JH233" s="48"/>
      <c r="JI233" s="48"/>
      <c r="JJ233" s="48"/>
      <c r="JK233" s="48"/>
      <c r="JL233" s="48"/>
      <c r="JM233" s="48"/>
      <c r="JN233" s="48"/>
      <c r="JO233" s="48"/>
      <c r="JP233" s="48"/>
      <c r="JQ233" s="48"/>
      <c r="JR233" s="48"/>
      <c r="JS233" s="48"/>
      <c r="JT233" s="48"/>
      <c r="JU233" s="48"/>
      <c r="JV233" s="48"/>
      <c r="JW233" s="48"/>
      <c r="JX233" s="48"/>
      <c r="JY233" s="48"/>
      <c r="JZ233" s="48"/>
      <c r="KA233" s="48"/>
      <c r="KB233" s="48"/>
      <c r="KC233" s="48"/>
      <c r="KD233" s="48"/>
      <c r="KE233" s="48"/>
      <c r="KF233" s="48"/>
      <c r="KG233" s="48"/>
      <c r="KH233" s="48"/>
      <c r="KI233" s="48"/>
      <c r="KJ233" s="48"/>
      <c r="KK233" s="48"/>
      <c r="KL233" s="48"/>
      <c r="KM233" s="48"/>
      <c r="KN233" s="48"/>
      <c r="KO233" s="48"/>
      <c r="KP233" s="48"/>
      <c r="KQ233" s="48"/>
      <c r="KR233" s="48"/>
      <c r="KS233" s="48"/>
      <c r="KT233" s="48"/>
      <c r="KU233" s="48"/>
      <c r="KV233" s="48"/>
      <c r="KW233" s="48"/>
      <c r="KX233" s="48"/>
      <c r="KY233" s="48"/>
      <c r="KZ233" s="48"/>
      <c r="LA233" s="48"/>
      <c r="LB233" s="48"/>
      <c r="LC233" s="48"/>
      <c r="LD233" s="48"/>
      <c r="LE233" s="48"/>
      <c r="LF233" s="48"/>
      <c r="LG233" s="48"/>
      <c r="LH233" s="48"/>
      <c r="LI233" s="48"/>
      <c r="LJ233" s="48"/>
      <c r="LK233" s="48"/>
      <c r="LL233" s="48"/>
      <c r="LM233" s="48"/>
      <c r="LN233" s="48"/>
      <c r="LO233" s="48"/>
      <c r="LP233" s="48"/>
      <c r="LQ233" s="48"/>
      <c r="LR233" s="48"/>
      <c r="LS233" s="48"/>
      <c r="LT233" s="48"/>
      <c r="LU233" s="48"/>
      <c r="LV233" s="48"/>
      <c r="LW233" s="48"/>
      <c r="LX233" s="48"/>
      <c r="LY233" s="48"/>
      <c r="LZ233" s="48"/>
      <c r="MA233" s="48"/>
      <c r="MB233" s="48"/>
      <c r="MC233" s="48"/>
      <c r="MD233" s="48"/>
      <c r="ME233" s="48"/>
      <c r="MF233" s="48"/>
      <c r="MG233" s="48"/>
      <c r="MH233" s="48"/>
      <c r="MI233" s="48"/>
      <c r="MJ233" s="48"/>
      <c r="MK233" s="48"/>
      <c r="ML233" s="48"/>
      <c r="MM233" s="48"/>
      <c r="MN233" s="48"/>
      <c r="MO233" s="48"/>
      <c r="MP233" s="48"/>
      <c r="MQ233" s="48"/>
      <c r="MR233" s="48"/>
      <c r="MS233" s="48"/>
      <c r="MT233" s="48"/>
      <c r="MU233" s="48"/>
      <c r="MV233" s="48"/>
      <c r="MW233" s="48"/>
      <c r="MX233" s="48"/>
      <c r="MY233" s="48"/>
      <c r="MZ233" s="48"/>
      <c r="NA233" s="48"/>
      <c r="NB233" s="48"/>
      <c r="NC233" s="48"/>
      <c r="ND233" s="48"/>
      <c r="NE233" s="48"/>
      <c r="NF233" s="48"/>
      <c r="NG233" s="48"/>
      <c r="NH233" s="48"/>
      <c r="NI233" s="48"/>
      <c r="NJ233" s="48"/>
      <c r="NK233" s="48"/>
      <c r="NL233" s="48"/>
      <c r="NM233" s="48"/>
      <c r="NN233" s="48"/>
      <c r="NO233" s="48"/>
      <c r="NP233" s="48"/>
      <c r="NQ233" s="48"/>
      <c r="NR233" s="48"/>
      <c r="NS233" s="48"/>
      <c r="NT233" s="48"/>
      <c r="NU233" s="48"/>
      <c r="NV233" s="48"/>
      <c r="NW233" s="48"/>
      <c r="NX233" s="48"/>
      <c r="NY233" s="48"/>
      <c r="NZ233" s="48"/>
      <c r="OA233" s="48"/>
      <c r="OB233" s="48"/>
      <c r="OC233" s="48"/>
      <c r="OD233" s="48"/>
      <c r="OE233" s="48"/>
      <c r="OF233" s="48"/>
      <c r="OG233" s="48"/>
      <c r="OH233" s="48"/>
      <c r="OI233" s="48"/>
      <c r="OJ233" s="48"/>
      <c r="OK233" s="48"/>
      <c r="OL233" s="48"/>
      <c r="OM233" s="48"/>
      <c r="ON233" s="48"/>
      <c r="OO233" s="48"/>
      <c r="OP233" s="48"/>
      <c r="OQ233" s="48"/>
      <c r="OR233" s="48"/>
      <c r="OS233" s="48"/>
      <c r="OT233" s="48"/>
      <c r="OU233" s="48"/>
      <c r="OV233" s="48"/>
      <c r="OW233" s="48"/>
      <c r="OX233" s="48"/>
      <c r="OY233" s="48"/>
      <c r="OZ233" s="48"/>
      <c r="PA233" s="48"/>
      <c r="PB233" s="48"/>
      <c r="PC233" s="48"/>
      <c r="PD233" s="48"/>
      <c r="PE233" s="48"/>
      <c r="PF233" s="48"/>
      <c r="PG233" s="48"/>
      <c r="PH233" s="48"/>
      <c r="PI233" s="48"/>
      <c r="PJ233" s="48"/>
      <c r="PK233" s="48"/>
      <c r="PL233" s="48"/>
      <c r="PM233" s="48"/>
      <c r="PN233" s="48"/>
      <c r="PO233" s="48"/>
      <c r="PP233" s="48"/>
      <c r="PQ233" s="48"/>
      <c r="PR233" s="48"/>
      <c r="PS233" s="48"/>
      <c r="PT233" s="48"/>
      <c r="PU233" s="48"/>
      <c r="PV233" s="48"/>
      <c r="PW233" s="48"/>
      <c r="PX233" s="48"/>
      <c r="PY233" s="48"/>
      <c r="PZ233" s="48"/>
      <c r="QA233" s="48"/>
      <c r="QB233" s="48"/>
      <c r="QC233" s="48"/>
      <c r="QD233" s="48"/>
      <c r="QE233" s="48"/>
      <c r="QF233" s="48"/>
      <c r="QG233" s="48"/>
      <c r="QH233" s="48"/>
      <c r="QI233" s="48"/>
      <c r="QJ233" s="48"/>
      <c r="QK233" s="48"/>
      <c r="QL233" s="48"/>
      <c r="QM233" s="48"/>
      <c r="QN233" s="48"/>
      <c r="QO233" s="48"/>
      <c r="QP233" s="48"/>
      <c r="QQ233" s="48"/>
      <c r="QR233" s="48"/>
      <c r="QS233" s="48"/>
      <c r="QT233" s="48"/>
      <c r="QU233" s="48"/>
      <c r="QV233" s="48"/>
      <c r="QW233" s="48"/>
      <c r="QX233" s="48"/>
      <c r="QY233" s="48"/>
      <c r="QZ233" s="48"/>
      <c r="RA233" s="48"/>
      <c r="RB233" s="48"/>
      <c r="RC233" s="48"/>
      <c r="RD233" s="48"/>
      <c r="RE233" s="48"/>
      <c r="RF233" s="48"/>
      <c r="RG233" s="48"/>
      <c r="RH233" s="48"/>
      <c r="RI233" s="48"/>
      <c r="RJ233" s="48"/>
      <c r="RK233" s="48"/>
      <c r="RL233" s="48"/>
      <c r="RM233" s="48"/>
      <c r="RN233" s="48"/>
      <c r="RO233" s="48"/>
      <c r="RP233" s="48"/>
      <c r="RQ233" s="48"/>
      <c r="RR233" s="48"/>
      <c r="RS233" s="48"/>
      <c r="RT233" s="48"/>
      <c r="RU233" s="48"/>
      <c r="RV233" s="48"/>
      <c r="RW233" s="48"/>
      <c r="RX233" s="48"/>
      <c r="RY233" s="48"/>
      <c r="RZ233" s="48"/>
      <c r="SA233" s="48"/>
      <c r="SB233" s="48"/>
      <c r="SC233" s="48"/>
      <c r="SD233" s="48"/>
      <c r="SE233" s="48"/>
      <c r="SF233" s="48"/>
      <c r="SG233" s="48"/>
      <c r="SH233" s="48"/>
      <c r="SI233" s="48"/>
      <c r="SJ233" s="48"/>
      <c r="SK233" s="48"/>
      <c r="SL233" s="48"/>
      <c r="SM233" s="48"/>
      <c r="SN233" s="48"/>
      <c r="SO233" s="48"/>
      <c r="SP233" s="48"/>
      <c r="SQ233" s="48"/>
      <c r="SR233" s="48"/>
      <c r="SS233" s="48"/>
      <c r="ST233" s="48"/>
      <c r="SU233" s="48"/>
      <c r="SV233" s="48"/>
      <c r="SW233" s="48"/>
      <c r="SX233" s="48"/>
      <c r="SY233" s="48"/>
      <c r="SZ233" s="48"/>
      <c r="TA233" s="48"/>
      <c r="TB233" s="48"/>
      <c r="TC233" s="48"/>
      <c r="TD233" s="48"/>
      <c r="TE233" s="48"/>
      <c r="TF233" s="48"/>
      <c r="TG233" s="48"/>
      <c r="TH233" s="48"/>
      <c r="TI233" s="48"/>
      <c r="TJ233" s="48"/>
      <c r="TK233" s="48"/>
      <c r="TL233" s="48"/>
      <c r="TM233" s="48"/>
      <c r="TN233" s="48"/>
      <c r="TO233" s="48"/>
      <c r="TP233" s="48"/>
      <c r="TQ233" s="48"/>
      <c r="TR233" s="48"/>
      <c r="TS233" s="48"/>
      <c r="TT233" s="48"/>
      <c r="TU233" s="48"/>
      <c r="TV233" s="48"/>
      <c r="TW233" s="48"/>
      <c r="TX233" s="48"/>
      <c r="TY233" s="48"/>
      <c r="TZ233" s="48"/>
      <c r="UA233" s="48"/>
      <c r="UB233" s="48"/>
      <c r="UC233" s="48"/>
      <c r="UD233" s="48"/>
      <c r="UE233" s="48"/>
      <c r="UF233" s="48"/>
      <c r="UG233" s="48"/>
      <c r="UH233" s="48"/>
      <c r="UI233" s="48"/>
      <c r="UJ233" s="48"/>
      <c r="UK233" s="48"/>
      <c r="UL233" s="48"/>
      <c r="UM233" s="48"/>
      <c r="UN233" s="48"/>
      <c r="UO233" s="48"/>
      <c r="UP233" s="48"/>
      <c r="UQ233" s="48"/>
      <c r="UR233" s="48"/>
      <c r="US233" s="48"/>
      <c r="UT233" s="48"/>
      <c r="UU233" s="48"/>
      <c r="UV233" s="48"/>
      <c r="UW233" s="48"/>
      <c r="UX233" s="48"/>
      <c r="UY233" s="48"/>
      <c r="UZ233" s="48"/>
      <c r="VA233" s="48"/>
      <c r="VB233" s="48"/>
      <c r="VC233" s="48"/>
      <c r="VD233" s="48"/>
      <c r="VE233" s="48"/>
      <c r="VF233" s="48"/>
      <c r="VG233" s="48"/>
      <c r="VH233" s="48"/>
      <c r="VI233" s="48"/>
      <c r="VJ233" s="48"/>
      <c r="VK233" s="48"/>
      <c r="VL233" s="48"/>
      <c r="VM233" s="48"/>
      <c r="VN233" s="48"/>
      <c r="VO233" s="48"/>
      <c r="VP233" s="48"/>
      <c r="VQ233" s="48"/>
      <c r="VR233" s="48"/>
      <c r="VS233" s="48"/>
      <c r="VT233" s="48"/>
      <c r="VU233" s="48"/>
      <c r="VV233" s="48"/>
      <c r="VW233" s="48"/>
      <c r="VX233" s="48"/>
      <c r="VY233" s="48"/>
      <c r="VZ233" s="48"/>
      <c r="WA233" s="48"/>
      <c r="WB233" s="48"/>
      <c r="WC233" s="48"/>
      <c r="WD233" s="48"/>
      <c r="WE233" s="48"/>
      <c r="WF233" s="48"/>
      <c r="WG233" s="48"/>
      <c r="WH233" s="48"/>
      <c r="WI233" s="48"/>
      <c r="WJ233" s="48"/>
      <c r="WK233" s="48"/>
      <c r="WL233" s="48"/>
      <c r="WM233" s="48"/>
      <c r="WN233" s="48"/>
      <c r="WO233" s="48"/>
      <c r="WP233" s="48"/>
      <c r="WQ233" s="48"/>
      <c r="WR233" s="48"/>
      <c r="WS233" s="48"/>
      <c r="WT233" s="48"/>
      <c r="WU233" s="48"/>
      <c r="WV233" s="48"/>
      <c r="WW233" s="48"/>
      <c r="WX233" s="48"/>
      <c r="WY233" s="48"/>
      <c r="WZ233" s="48"/>
      <c r="XA233" s="48"/>
      <c r="XB233" s="48"/>
      <c r="XC233" s="48"/>
      <c r="XD233" s="48"/>
      <c r="XE233" s="48"/>
      <c r="XF233" s="48"/>
      <c r="XG233" s="48"/>
      <c r="XH233" s="48"/>
      <c r="XI233" s="48"/>
      <c r="XJ233" s="48"/>
      <c r="XK233" s="48"/>
      <c r="XL233" s="48"/>
      <c r="XM233" s="48"/>
      <c r="XN233" s="48"/>
      <c r="XO233" s="48"/>
      <c r="XP233" s="48"/>
      <c r="XQ233" s="48"/>
      <c r="XR233" s="48"/>
      <c r="XS233" s="48"/>
      <c r="XT233" s="48"/>
      <c r="XU233" s="48"/>
      <c r="XV233" s="48"/>
      <c r="XW233" s="48"/>
      <c r="XX233" s="48"/>
      <c r="XY233" s="48"/>
      <c r="XZ233" s="48"/>
      <c r="YA233" s="48"/>
      <c r="YB233" s="48"/>
      <c r="YC233" s="48"/>
      <c r="YD233" s="48"/>
      <c r="YE233" s="48"/>
      <c r="YF233" s="48"/>
      <c r="YG233" s="48"/>
      <c r="YH233" s="48"/>
      <c r="YI233" s="48"/>
      <c r="YJ233" s="48"/>
      <c r="YK233" s="48"/>
      <c r="YL233" s="48"/>
      <c r="YM233" s="48"/>
      <c r="YN233" s="48"/>
      <c r="YO233" s="48"/>
      <c r="YP233" s="48"/>
      <c r="YQ233" s="48"/>
      <c r="YR233" s="48"/>
      <c r="YS233" s="48"/>
      <c r="YT233" s="48"/>
      <c r="YU233" s="48"/>
      <c r="YV233" s="48"/>
      <c r="YW233" s="48"/>
      <c r="YX233" s="48"/>
      <c r="YY233" s="48"/>
      <c r="YZ233" s="48"/>
      <c r="ZA233" s="48"/>
      <c r="ZB233" s="48"/>
      <c r="ZC233" s="48"/>
      <c r="ZD233" s="48"/>
      <c r="ZE233" s="48"/>
      <c r="ZF233" s="48"/>
      <c r="ZG233" s="48"/>
      <c r="ZH233" s="48"/>
      <c r="ZI233" s="48"/>
      <c r="ZJ233" s="48"/>
      <c r="ZK233" s="48"/>
      <c r="ZL233" s="48"/>
      <c r="ZM233" s="48"/>
      <c r="ZN233" s="48"/>
      <c r="ZO233" s="48"/>
      <c r="ZP233" s="48"/>
      <c r="ZQ233" s="48"/>
      <c r="ZR233" s="48"/>
      <c r="ZS233" s="48"/>
      <c r="ZT233" s="48"/>
      <c r="ZU233" s="48"/>
      <c r="ZV233" s="48"/>
      <c r="ZW233" s="48"/>
      <c r="ZX233" s="48"/>
      <c r="ZY233" s="48"/>
      <c r="ZZ233" s="48"/>
      <c r="AAA233" s="48"/>
      <c r="AAB233" s="48"/>
      <c r="AAC233" s="48"/>
      <c r="AAD233" s="48"/>
      <c r="AAE233" s="48"/>
      <c r="AAF233" s="48"/>
      <c r="AAG233" s="48"/>
      <c r="AAH233" s="48"/>
      <c r="AAI233" s="48"/>
      <c r="AAJ233" s="48"/>
      <c r="AAK233" s="48"/>
      <c r="AAL233" s="48"/>
      <c r="AAM233" s="48"/>
      <c r="AAN233" s="48"/>
      <c r="AAO233" s="48"/>
      <c r="AAP233" s="48"/>
      <c r="AAQ233" s="48"/>
      <c r="AAR233" s="48"/>
      <c r="AAS233" s="48"/>
      <c r="AAT233" s="48"/>
      <c r="AAU233" s="48"/>
      <c r="AAV233" s="48"/>
      <c r="AAW233" s="48"/>
      <c r="AAX233" s="48"/>
      <c r="AAY233" s="48"/>
      <c r="AAZ233" s="48"/>
      <c r="ABA233" s="48"/>
      <c r="ABB233" s="48"/>
      <c r="ABC233" s="48"/>
      <c r="ABD233" s="48"/>
      <c r="ABE233" s="48"/>
      <c r="ABF233" s="48"/>
      <c r="ABG233" s="48"/>
      <c r="ABH233" s="48"/>
      <c r="ABI233" s="48"/>
      <c r="ABJ233" s="48"/>
      <c r="ABK233" s="48"/>
      <c r="ABL233" s="48"/>
      <c r="ABM233" s="48"/>
      <c r="ABN233" s="48"/>
      <c r="ABO233" s="48"/>
      <c r="ABP233" s="48"/>
      <c r="ABQ233" s="48"/>
      <c r="ABR233" s="48"/>
      <c r="ABS233" s="48"/>
      <c r="ABT233" s="48"/>
      <c r="ABU233" s="48"/>
      <c r="ABV233" s="48"/>
      <c r="ABW233" s="48"/>
      <c r="ABX233" s="48"/>
      <c r="ABY233" s="48"/>
      <c r="ABZ233" s="48"/>
      <c r="ACA233" s="48"/>
      <c r="ACB233" s="48"/>
      <c r="ACC233" s="48"/>
      <c r="ACD233" s="48"/>
      <c r="ACE233" s="48"/>
      <c r="ACF233" s="48"/>
      <c r="ACG233" s="48"/>
      <c r="ACH233" s="48"/>
      <c r="ACI233" s="48"/>
      <c r="ACJ233" s="48"/>
      <c r="ACK233" s="48"/>
      <c r="ACL233" s="48"/>
      <c r="ACM233" s="48"/>
      <c r="ACN233" s="48"/>
      <c r="ACO233" s="48"/>
      <c r="ACP233" s="48"/>
      <c r="ACQ233" s="48"/>
      <c r="ACR233" s="48"/>
      <c r="ACS233" s="48"/>
      <c r="ACT233" s="48"/>
      <c r="ACU233" s="48"/>
      <c r="ACV233" s="48"/>
      <c r="ACW233" s="48"/>
      <c r="ACX233" s="48"/>
      <c r="ACY233" s="48"/>
      <c r="ACZ233" s="48"/>
      <c r="ADA233" s="48"/>
      <c r="ADB233" s="48"/>
      <c r="ADC233" s="48"/>
      <c r="ADD233" s="48"/>
      <c r="ADE233" s="48"/>
      <c r="ADF233" s="48"/>
      <c r="ADG233" s="48"/>
      <c r="ADH233" s="48"/>
      <c r="ADI233" s="48"/>
      <c r="ADJ233" s="48"/>
      <c r="ADK233" s="48"/>
      <c r="ADL233" s="48"/>
      <c r="ADM233" s="48"/>
      <c r="ADN233" s="48"/>
      <c r="ADO233" s="48"/>
      <c r="ADP233" s="48"/>
      <c r="ADQ233" s="48"/>
      <c r="ADR233" s="48"/>
      <c r="ADS233" s="48"/>
      <c r="ADT233" s="48"/>
      <c r="ADU233" s="48"/>
      <c r="ADV233" s="48"/>
      <c r="ADW233" s="48"/>
      <c r="ADX233" s="48"/>
      <c r="ADY233" s="48"/>
      <c r="ADZ233" s="48"/>
      <c r="AEA233" s="48"/>
      <c r="AEB233" s="48"/>
      <c r="AEC233" s="48"/>
      <c r="AED233" s="48"/>
      <c r="AEE233" s="48"/>
      <c r="AEF233" s="48"/>
      <c r="AEG233" s="48"/>
      <c r="AEH233" s="48"/>
      <c r="AEI233" s="48"/>
      <c r="AEJ233" s="48"/>
      <c r="AEK233" s="48"/>
      <c r="AEL233" s="48"/>
      <c r="AEM233" s="48"/>
      <c r="AEN233" s="48"/>
      <c r="AEO233" s="48"/>
      <c r="AEP233" s="48"/>
      <c r="AEQ233" s="48"/>
      <c r="AER233" s="48"/>
      <c r="AES233" s="48"/>
      <c r="AET233" s="48"/>
      <c r="AEU233" s="48"/>
      <c r="AEV233" s="48"/>
      <c r="AEW233" s="48"/>
      <c r="AEX233" s="48"/>
      <c r="AEY233" s="48"/>
      <c r="AEZ233" s="48"/>
      <c r="AFA233" s="48"/>
      <c r="AFB233" s="48"/>
      <c r="AFC233" s="48"/>
      <c r="AFD233" s="48"/>
      <c r="AFE233" s="48"/>
      <c r="AFF233" s="48"/>
      <c r="AFG233" s="48"/>
      <c r="AFH233" s="48"/>
      <c r="AFI233" s="48"/>
      <c r="AFJ233" s="48"/>
      <c r="AFK233" s="48"/>
      <c r="AFL233" s="48"/>
      <c r="AFM233" s="48"/>
      <c r="AFN233" s="48"/>
      <c r="AFO233" s="48"/>
      <c r="AFP233" s="48"/>
      <c r="AFQ233" s="48"/>
      <c r="AFR233" s="48"/>
      <c r="AFS233" s="48"/>
      <c r="AFT233" s="48"/>
      <c r="AFU233" s="48"/>
      <c r="AFV233" s="48"/>
      <c r="AFW233" s="48"/>
      <c r="AFX233" s="48"/>
      <c r="AFY233" s="48"/>
      <c r="AFZ233" s="48"/>
      <c r="AGA233" s="48"/>
      <c r="AGB233" s="48"/>
      <c r="AGC233" s="48"/>
      <c r="AGD233" s="48"/>
      <c r="AGE233" s="48"/>
      <c r="AGF233" s="48"/>
      <c r="AGG233" s="48"/>
      <c r="AGH233" s="48"/>
      <c r="AGI233" s="48"/>
      <c r="AGJ233" s="48"/>
      <c r="AGK233" s="48"/>
      <c r="AGL233" s="48"/>
      <c r="AGM233" s="48"/>
      <c r="AGN233" s="48"/>
      <c r="AGO233" s="48"/>
      <c r="AGP233" s="48"/>
      <c r="AGQ233" s="48"/>
      <c r="AGR233" s="48"/>
      <c r="AGS233" s="48"/>
      <c r="AGT233" s="48"/>
      <c r="AGU233" s="48"/>
      <c r="AGV233" s="48"/>
      <c r="AGW233" s="48"/>
      <c r="AGX233" s="48"/>
      <c r="AGY233" s="48"/>
      <c r="AGZ233" s="48"/>
      <c r="AHA233" s="48"/>
      <c r="AHB233" s="48"/>
      <c r="AHC233" s="48"/>
      <c r="AHD233" s="48"/>
      <c r="AHE233" s="48"/>
      <c r="AHF233" s="48"/>
      <c r="AHG233" s="48"/>
      <c r="AHH233" s="48"/>
      <c r="AHI233" s="48"/>
      <c r="AHJ233" s="48"/>
      <c r="AHK233" s="48"/>
      <c r="AHL233" s="48"/>
      <c r="AHM233" s="48"/>
      <c r="AHN233" s="48"/>
      <c r="AHO233" s="48"/>
      <c r="AHP233" s="48"/>
      <c r="AHQ233" s="48"/>
      <c r="AHR233" s="48"/>
      <c r="AHS233" s="48"/>
      <c r="AHT233" s="48"/>
      <c r="AHU233" s="48"/>
      <c r="AHV233" s="48"/>
      <c r="AHW233" s="48"/>
      <c r="AHX233" s="48"/>
      <c r="AHY233" s="48"/>
      <c r="AHZ233" s="48"/>
      <c r="AIA233" s="48"/>
      <c r="AIB233" s="48"/>
      <c r="AIC233" s="48"/>
      <c r="AID233" s="48"/>
      <c r="AIE233" s="48"/>
      <c r="AIF233" s="48"/>
      <c r="AIG233" s="48"/>
      <c r="AIH233" s="48"/>
      <c r="AII233" s="48"/>
      <c r="AIJ233" s="48"/>
      <c r="AIK233" s="48"/>
      <c r="AIL233" s="48"/>
      <c r="AIM233" s="48"/>
      <c r="AIN233" s="48"/>
      <c r="AIO233" s="48"/>
      <c r="AIP233" s="48"/>
      <c r="AIQ233" s="48"/>
      <c r="AIR233" s="48"/>
      <c r="AIS233" s="48"/>
      <c r="AIT233" s="48"/>
      <c r="AIU233" s="48"/>
      <c r="AIV233" s="48"/>
      <c r="AIW233" s="48"/>
      <c r="AIX233" s="48"/>
      <c r="AIY233" s="48"/>
      <c r="AIZ233" s="48"/>
      <c r="AJA233" s="48"/>
      <c r="AJB233" s="48"/>
      <c r="AJC233" s="48"/>
      <c r="AJD233" s="48"/>
      <c r="AJE233" s="48"/>
      <c r="AJF233" s="48"/>
      <c r="AJG233" s="48"/>
      <c r="AJH233" s="48"/>
      <c r="AJI233" s="48"/>
      <c r="AJJ233" s="48"/>
      <c r="AJK233" s="48"/>
      <c r="AJL233" s="48"/>
      <c r="AJM233" s="48"/>
      <c r="AJN233" s="48"/>
      <c r="AJO233" s="48"/>
      <c r="AJP233" s="48"/>
      <c r="AJQ233" s="48"/>
      <c r="AJR233" s="48"/>
      <c r="AJS233" s="48"/>
      <c r="AJT233" s="48"/>
      <c r="AJU233" s="48"/>
      <c r="AJV233" s="48"/>
      <c r="AJW233" s="48"/>
      <c r="AJX233" s="48"/>
      <c r="AJY233" s="48"/>
      <c r="AJZ233" s="48"/>
      <c r="AKA233" s="48"/>
      <c r="AKB233" s="48"/>
      <c r="AKC233" s="48"/>
      <c r="AKD233" s="48"/>
      <c r="AKE233" s="48"/>
      <c r="AKF233" s="48"/>
      <c r="AKG233" s="48"/>
      <c r="AKH233" s="48"/>
      <c r="AKI233" s="48"/>
      <c r="AKJ233" s="48"/>
      <c r="AKK233" s="48"/>
      <c r="AKL233" s="48"/>
      <c r="AKM233" s="48"/>
      <c r="AKN233" s="48"/>
      <c r="AKO233" s="48"/>
      <c r="AKP233" s="48"/>
      <c r="AKQ233" s="48"/>
      <c r="AKR233" s="48"/>
      <c r="AKS233" s="48"/>
      <c r="AKT233" s="48"/>
      <c r="AKU233" s="48"/>
      <c r="AKV233" s="48"/>
      <c r="AKW233" s="48"/>
      <c r="AKX233" s="48"/>
      <c r="AKY233" s="48"/>
      <c r="AKZ233" s="48"/>
      <c r="ALA233" s="48"/>
      <c r="ALB233" s="48"/>
      <c r="ALC233" s="48"/>
      <c r="ALD233" s="48"/>
      <c r="ALE233" s="48"/>
      <c r="ALF233" s="48"/>
      <c r="ALG233" s="48"/>
      <c r="ALH233" s="48"/>
      <c r="ALI233" s="48"/>
      <c r="ALJ233" s="48"/>
      <c r="ALK233" s="48"/>
      <c r="ALL233" s="48"/>
      <c r="ALM233" s="48"/>
      <c r="ALN233" s="48"/>
      <c r="ALO233" s="48"/>
      <c r="ALP233" s="48"/>
      <c r="ALQ233" s="48"/>
      <c r="ALR233" s="48"/>
      <c r="ALS233" s="48"/>
      <c r="ALT233" s="48"/>
      <c r="ALU233" s="48"/>
      <c r="ALV233" s="48"/>
      <c r="ALW233" s="48"/>
      <c r="ALX233" s="48"/>
      <c r="ALY233" s="48"/>
      <c r="ALZ233" s="48"/>
      <c r="AMA233" s="48"/>
      <c r="AMB233" s="48"/>
      <c r="AMC233" s="48"/>
      <c r="AMD233" s="48"/>
      <c r="AME233" s="48"/>
      <c r="AMF233" s="48"/>
      <c r="AMG233" s="48"/>
      <c r="AMH233" s="48"/>
      <c r="AMI233" s="48"/>
      <c r="AMJ233" s="48"/>
      <c r="AMK233" s="48"/>
    </row>
    <row r="234" spans="1:1025" s="80" customFormat="1" x14ac:dyDescent="0.25">
      <c r="A234" s="103" t="s">
        <v>547</v>
      </c>
      <c r="B234" s="54" t="s">
        <v>118</v>
      </c>
      <c r="C234" s="55">
        <v>5.0999999999999996</v>
      </c>
      <c r="D234" s="55">
        <v>6.5</v>
      </c>
      <c r="E234" s="55">
        <v>24.7</v>
      </c>
      <c r="F234" s="55">
        <v>181</v>
      </c>
      <c r="G234" s="55">
        <v>115.1</v>
      </c>
      <c r="H234" s="55">
        <v>0</v>
      </c>
      <c r="I234" s="55">
        <v>0.9</v>
      </c>
      <c r="J234" s="55">
        <v>0.5</v>
      </c>
      <c r="K234" s="102" t="s">
        <v>119</v>
      </c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48"/>
      <c r="BE234" s="48"/>
      <c r="BF234" s="48"/>
      <c r="BG234" s="48"/>
      <c r="BH234" s="48"/>
      <c r="BI234" s="48"/>
      <c r="BJ234" s="48"/>
      <c r="BK234" s="48"/>
      <c r="BL234" s="48"/>
      <c r="BM234" s="48"/>
      <c r="BN234" s="48"/>
      <c r="BO234" s="48"/>
      <c r="BP234" s="48"/>
      <c r="BQ234" s="48"/>
      <c r="BR234" s="48"/>
      <c r="BS234" s="48"/>
      <c r="BT234" s="48"/>
      <c r="BU234" s="48"/>
      <c r="BV234" s="48"/>
      <c r="BW234" s="48"/>
      <c r="BX234" s="48"/>
      <c r="BY234" s="48"/>
      <c r="BZ234" s="48"/>
      <c r="CA234" s="48"/>
      <c r="CB234" s="48"/>
      <c r="CC234" s="48"/>
      <c r="CD234" s="48"/>
      <c r="CE234" s="48"/>
      <c r="CF234" s="48"/>
      <c r="CG234" s="48"/>
      <c r="CH234" s="48"/>
      <c r="CI234" s="48"/>
      <c r="CJ234" s="48"/>
      <c r="CK234" s="48"/>
      <c r="CL234" s="48"/>
      <c r="CM234" s="48"/>
      <c r="CN234" s="48"/>
      <c r="CO234" s="48"/>
      <c r="CP234" s="48"/>
      <c r="CQ234" s="48"/>
      <c r="CR234" s="48"/>
      <c r="CS234" s="48"/>
      <c r="CT234" s="48"/>
      <c r="CU234" s="48"/>
      <c r="CV234" s="48"/>
      <c r="CW234" s="48"/>
      <c r="CX234" s="48"/>
      <c r="CY234" s="48"/>
      <c r="CZ234" s="48"/>
      <c r="DA234" s="48"/>
      <c r="DB234" s="48"/>
      <c r="DC234" s="48"/>
      <c r="DD234" s="48"/>
      <c r="DE234" s="48"/>
      <c r="DF234" s="48"/>
      <c r="DG234" s="48"/>
      <c r="DH234" s="48"/>
      <c r="DI234" s="48"/>
      <c r="DJ234" s="48"/>
      <c r="DK234" s="48"/>
      <c r="DL234" s="48"/>
      <c r="DM234" s="48"/>
      <c r="DN234" s="48"/>
      <c r="DO234" s="48"/>
      <c r="DP234" s="48"/>
      <c r="DQ234" s="48"/>
      <c r="DR234" s="48"/>
      <c r="DS234" s="48"/>
      <c r="DT234" s="48"/>
      <c r="DU234" s="48"/>
      <c r="DV234" s="48"/>
      <c r="DW234" s="48"/>
      <c r="DX234" s="48"/>
      <c r="DY234" s="48"/>
      <c r="DZ234" s="48"/>
      <c r="EA234" s="48"/>
      <c r="EB234" s="48"/>
      <c r="EC234" s="48"/>
      <c r="ED234" s="48"/>
      <c r="EE234" s="48"/>
      <c r="EF234" s="48"/>
      <c r="EG234" s="48"/>
      <c r="EH234" s="48"/>
      <c r="EI234" s="48"/>
      <c r="EJ234" s="48"/>
      <c r="EK234" s="48"/>
      <c r="EL234" s="48"/>
      <c r="EM234" s="48"/>
      <c r="EN234" s="48"/>
      <c r="EO234" s="48"/>
      <c r="EP234" s="48"/>
      <c r="EQ234" s="48"/>
      <c r="ER234" s="48"/>
      <c r="ES234" s="48"/>
      <c r="ET234" s="48"/>
      <c r="EU234" s="48"/>
      <c r="EV234" s="48"/>
      <c r="EW234" s="48"/>
      <c r="EX234" s="48"/>
      <c r="EY234" s="48"/>
      <c r="EZ234" s="48"/>
      <c r="FA234" s="48"/>
      <c r="FB234" s="48"/>
      <c r="FC234" s="48"/>
      <c r="FD234" s="48"/>
      <c r="FE234" s="48"/>
      <c r="FF234" s="48"/>
      <c r="FG234" s="48"/>
      <c r="FH234" s="48"/>
      <c r="FI234" s="48"/>
      <c r="FJ234" s="48"/>
      <c r="FK234" s="48"/>
      <c r="FL234" s="48"/>
      <c r="FM234" s="48"/>
      <c r="FN234" s="48"/>
      <c r="FO234" s="48"/>
      <c r="FP234" s="48"/>
      <c r="FQ234" s="48"/>
      <c r="FR234" s="48"/>
      <c r="FS234" s="48"/>
      <c r="FT234" s="48"/>
      <c r="FU234" s="48"/>
      <c r="FV234" s="48"/>
      <c r="FW234" s="48"/>
      <c r="FX234" s="48"/>
      <c r="FY234" s="48"/>
      <c r="FZ234" s="48"/>
      <c r="GA234" s="48"/>
      <c r="GB234" s="48"/>
      <c r="GC234" s="48"/>
      <c r="GD234" s="48"/>
      <c r="GE234" s="48"/>
      <c r="GF234" s="48"/>
      <c r="GG234" s="48"/>
      <c r="GH234" s="48"/>
      <c r="GI234" s="48"/>
      <c r="GJ234" s="48"/>
      <c r="GK234" s="48"/>
      <c r="GL234" s="48"/>
      <c r="GM234" s="48"/>
      <c r="GN234" s="48"/>
      <c r="GO234" s="48"/>
      <c r="GP234" s="48"/>
      <c r="GQ234" s="48"/>
      <c r="GR234" s="48"/>
      <c r="GS234" s="48"/>
      <c r="GT234" s="48"/>
      <c r="GU234" s="48"/>
      <c r="GV234" s="48"/>
      <c r="GW234" s="48"/>
      <c r="GX234" s="48"/>
      <c r="GY234" s="48"/>
      <c r="GZ234" s="48"/>
      <c r="HA234" s="48"/>
      <c r="HB234" s="48"/>
      <c r="HC234" s="48"/>
      <c r="HD234" s="48"/>
      <c r="HE234" s="48"/>
      <c r="HF234" s="48"/>
      <c r="HG234" s="48"/>
      <c r="HH234" s="48"/>
      <c r="HI234" s="48"/>
      <c r="HJ234" s="48"/>
      <c r="HK234" s="48"/>
      <c r="HL234" s="48"/>
      <c r="HM234" s="48"/>
      <c r="HN234" s="48"/>
      <c r="HO234" s="48"/>
      <c r="HP234" s="48"/>
      <c r="HQ234" s="48"/>
      <c r="HR234" s="48"/>
      <c r="HS234" s="48"/>
      <c r="HT234" s="48"/>
      <c r="HU234" s="48"/>
      <c r="HV234" s="48"/>
      <c r="HW234" s="48"/>
      <c r="HX234" s="48"/>
      <c r="HY234" s="48"/>
      <c r="HZ234" s="48"/>
      <c r="IA234" s="48"/>
      <c r="IB234" s="48"/>
      <c r="IC234" s="48"/>
      <c r="ID234" s="48"/>
      <c r="IE234" s="48"/>
      <c r="IF234" s="48"/>
      <c r="IG234" s="48"/>
      <c r="IH234" s="48"/>
      <c r="II234" s="48"/>
      <c r="IJ234" s="48"/>
      <c r="IK234" s="48"/>
      <c r="IL234" s="48"/>
      <c r="IM234" s="48"/>
      <c r="IN234" s="48"/>
      <c r="IO234" s="48"/>
      <c r="IP234" s="48"/>
      <c r="IQ234" s="48"/>
      <c r="IR234" s="48"/>
      <c r="IS234" s="48"/>
      <c r="IT234" s="48"/>
      <c r="IU234" s="48"/>
      <c r="IV234" s="48"/>
      <c r="IW234" s="48"/>
      <c r="IX234" s="48"/>
      <c r="IY234" s="48"/>
      <c r="IZ234" s="48"/>
      <c r="JA234" s="48"/>
      <c r="JB234" s="48"/>
      <c r="JC234" s="48"/>
      <c r="JD234" s="48"/>
      <c r="JE234" s="48"/>
      <c r="JF234" s="48"/>
      <c r="JG234" s="48"/>
      <c r="JH234" s="48"/>
      <c r="JI234" s="48"/>
      <c r="JJ234" s="48"/>
      <c r="JK234" s="48"/>
      <c r="JL234" s="48"/>
      <c r="JM234" s="48"/>
      <c r="JN234" s="48"/>
      <c r="JO234" s="48"/>
      <c r="JP234" s="48"/>
      <c r="JQ234" s="48"/>
      <c r="JR234" s="48"/>
      <c r="JS234" s="48"/>
      <c r="JT234" s="48"/>
      <c r="JU234" s="48"/>
      <c r="JV234" s="48"/>
      <c r="JW234" s="48"/>
      <c r="JX234" s="48"/>
      <c r="JY234" s="48"/>
      <c r="JZ234" s="48"/>
      <c r="KA234" s="48"/>
      <c r="KB234" s="48"/>
      <c r="KC234" s="48"/>
      <c r="KD234" s="48"/>
      <c r="KE234" s="48"/>
      <c r="KF234" s="48"/>
      <c r="KG234" s="48"/>
      <c r="KH234" s="48"/>
      <c r="KI234" s="48"/>
      <c r="KJ234" s="48"/>
      <c r="KK234" s="48"/>
      <c r="KL234" s="48"/>
      <c r="KM234" s="48"/>
      <c r="KN234" s="48"/>
      <c r="KO234" s="48"/>
      <c r="KP234" s="48"/>
      <c r="KQ234" s="48"/>
      <c r="KR234" s="48"/>
      <c r="KS234" s="48"/>
      <c r="KT234" s="48"/>
      <c r="KU234" s="48"/>
      <c r="KV234" s="48"/>
      <c r="KW234" s="48"/>
      <c r="KX234" s="48"/>
      <c r="KY234" s="48"/>
      <c r="KZ234" s="48"/>
      <c r="LA234" s="48"/>
      <c r="LB234" s="48"/>
      <c r="LC234" s="48"/>
      <c r="LD234" s="48"/>
      <c r="LE234" s="48"/>
      <c r="LF234" s="48"/>
      <c r="LG234" s="48"/>
      <c r="LH234" s="48"/>
      <c r="LI234" s="48"/>
      <c r="LJ234" s="48"/>
      <c r="LK234" s="48"/>
      <c r="LL234" s="48"/>
      <c r="LM234" s="48"/>
      <c r="LN234" s="48"/>
      <c r="LO234" s="48"/>
      <c r="LP234" s="48"/>
      <c r="LQ234" s="48"/>
      <c r="LR234" s="48"/>
      <c r="LS234" s="48"/>
      <c r="LT234" s="48"/>
      <c r="LU234" s="48"/>
      <c r="LV234" s="48"/>
      <c r="LW234" s="48"/>
      <c r="LX234" s="48"/>
      <c r="LY234" s="48"/>
      <c r="LZ234" s="48"/>
      <c r="MA234" s="48"/>
      <c r="MB234" s="48"/>
      <c r="MC234" s="48"/>
      <c r="MD234" s="48"/>
      <c r="ME234" s="48"/>
      <c r="MF234" s="48"/>
      <c r="MG234" s="48"/>
      <c r="MH234" s="48"/>
      <c r="MI234" s="48"/>
      <c r="MJ234" s="48"/>
      <c r="MK234" s="48"/>
      <c r="ML234" s="48"/>
      <c r="MM234" s="48"/>
      <c r="MN234" s="48"/>
      <c r="MO234" s="48"/>
      <c r="MP234" s="48"/>
      <c r="MQ234" s="48"/>
      <c r="MR234" s="48"/>
      <c r="MS234" s="48"/>
      <c r="MT234" s="48"/>
      <c r="MU234" s="48"/>
      <c r="MV234" s="48"/>
      <c r="MW234" s="48"/>
      <c r="MX234" s="48"/>
      <c r="MY234" s="48"/>
      <c r="MZ234" s="48"/>
      <c r="NA234" s="48"/>
      <c r="NB234" s="48"/>
      <c r="NC234" s="48"/>
      <c r="ND234" s="48"/>
      <c r="NE234" s="48"/>
      <c r="NF234" s="48"/>
      <c r="NG234" s="48"/>
      <c r="NH234" s="48"/>
      <c r="NI234" s="48"/>
      <c r="NJ234" s="48"/>
      <c r="NK234" s="48"/>
      <c r="NL234" s="48"/>
      <c r="NM234" s="48"/>
      <c r="NN234" s="48"/>
      <c r="NO234" s="48"/>
      <c r="NP234" s="48"/>
      <c r="NQ234" s="48"/>
      <c r="NR234" s="48"/>
      <c r="NS234" s="48"/>
      <c r="NT234" s="48"/>
      <c r="NU234" s="48"/>
      <c r="NV234" s="48"/>
      <c r="NW234" s="48"/>
      <c r="NX234" s="48"/>
      <c r="NY234" s="48"/>
      <c r="NZ234" s="48"/>
      <c r="OA234" s="48"/>
      <c r="OB234" s="48"/>
      <c r="OC234" s="48"/>
      <c r="OD234" s="48"/>
      <c r="OE234" s="48"/>
      <c r="OF234" s="48"/>
      <c r="OG234" s="48"/>
      <c r="OH234" s="48"/>
      <c r="OI234" s="48"/>
      <c r="OJ234" s="48"/>
      <c r="OK234" s="48"/>
      <c r="OL234" s="48"/>
      <c r="OM234" s="48"/>
      <c r="ON234" s="48"/>
      <c r="OO234" s="48"/>
      <c r="OP234" s="48"/>
      <c r="OQ234" s="48"/>
      <c r="OR234" s="48"/>
      <c r="OS234" s="48"/>
      <c r="OT234" s="48"/>
      <c r="OU234" s="48"/>
      <c r="OV234" s="48"/>
      <c r="OW234" s="48"/>
      <c r="OX234" s="48"/>
      <c r="OY234" s="48"/>
      <c r="OZ234" s="48"/>
      <c r="PA234" s="48"/>
      <c r="PB234" s="48"/>
      <c r="PC234" s="48"/>
      <c r="PD234" s="48"/>
      <c r="PE234" s="48"/>
      <c r="PF234" s="48"/>
      <c r="PG234" s="48"/>
      <c r="PH234" s="48"/>
      <c r="PI234" s="48"/>
      <c r="PJ234" s="48"/>
      <c r="PK234" s="48"/>
      <c r="PL234" s="48"/>
      <c r="PM234" s="48"/>
      <c r="PN234" s="48"/>
      <c r="PO234" s="48"/>
      <c r="PP234" s="48"/>
      <c r="PQ234" s="48"/>
      <c r="PR234" s="48"/>
      <c r="PS234" s="48"/>
      <c r="PT234" s="48"/>
      <c r="PU234" s="48"/>
      <c r="PV234" s="48"/>
      <c r="PW234" s="48"/>
      <c r="PX234" s="48"/>
      <c r="PY234" s="48"/>
      <c r="PZ234" s="48"/>
      <c r="QA234" s="48"/>
      <c r="QB234" s="48"/>
      <c r="QC234" s="48"/>
      <c r="QD234" s="48"/>
      <c r="QE234" s="48"/>
      <c r="QF234" s="48"/>
      <c r="QG234" s="48"/>
      <c r="QH234" s="48"/>
      <c r="QI234" s="48"/>
      <c r="QJ234" s="48"/>
      <c r="QK234" s="48"/>
      <c r="QL234" s="48"/>
      <c r="QM234" s="48"/>
      <c r="QN234" s="48"/>
      <c r="QO234" s="48"/>
      <c r="QP234" s="48"/>
      <c r="QQ234" s="48"/>
      <c r="QR234" s="48"/>
      <c r="QS234" s="48"/>
      <c r="QT234" s="48"/>
      <c r="QU234" s="48"/>
      <c r="QV234" s="48"/>
      <c r="QW234" s="48"/>
      <c r="QX234" s="48"/>
      <c r="QY234" s="48"/>
      <c r="QZ234" s="48"/>
      <c r="RA234" s="48"/>
      <c r="RB234" s="48"/>
      <c r="RC234" s="48"/>
      <c r="RD234" s="48"/>
      <c r="RE234" s="48"/>
      <c r="RF234" s="48"/>
      <c r="RG234" s="48"/>
      <c r="RH234" s="48"/>
      <c r="RI234" s="48"/>
      <c r="RJ234" s="48"/>
      <c r="RK234" s="48"/>
      <c r="RL234" s="48"/>
      <c r="RM234" s="48"/>
      <c r="RN234" s="48"/>
      <c r="RO234" s="48"/>
      <c r="RP234" s="48"/>
      <c r="RQ234" s="48"/>
      <c r="RR234" s="48"/>
      <c r="RS234" s="48"/>
      <c r="RT234" s="48"/>
      <c r="RU234" s="48"/>
      <c r="RV234" s="48"/>
      <c r="RW234" s="48"/>
      <c r="RX234" s="48"/>
      <c r="RY234" s="48"/>
      <c r="RZ234" s="48"/>
      <c r="SA234" s="48"/>
      <c r="SB234" s="48"/>
      <c r="SC234" s="48"/>
      <c r="SD234" s="48"/>
      <c r="SE234" s="48"/>
      <c r="SF234" s="48"/>
      <c r="SG234" s="48"/>
      <c r="SH234" s="48"/>
      <c r="SI234" s="48"/>
      <c r="SJ234" s="48"/>
      <c r="SK234" s="48"/>
      <c r="SL234" s="48"/>
      <c r="SM234" s="48"/>
      <c r="SN234" s="48"/>
      <c r="SO234" s="48"/>
      <c r="SP234" s="48"/>
      <c r="SQ234" s="48"/>
      <c r="SR234" s="48"/>
      <c r="SS234" s="48"/>
      <c r="ST234" s="48"/>
      <c r="SU234" s="48"/>
      <c r="SV234" s="48"/>
      <c r="SW234" s="48"/>
      <c r="SX234" s="48"/>
      <c r="SY234" s="48"/>
      <c r="SZ234" s="48"/>
      <c r="TA234" s="48"/>
      <c r="TB234" s="48"/>
      <c r="TC234" s="48"/>
      <c r="TD234" s="48"/>
      <c r="TE234" s="48"/>
      <c r="TF234" s="48"/>
      <c r="TG234" s="48"/>
      <c r="TH234" s="48"/>
      <c r="TI234" s="48"/>
      <c r="TJ234" s="48"/>
      <c r="TK234" s="48"/>
      <c r="TL234" s="48"/>
      <c r="TM234" s="48"/>
      <c r="TN234" s="48"/>
      <c r="TO234" s="48"/>
      <c r="TP234" s="48"/>
      <c r="TQ234" s="48"/>
      <c r="TR234" s="48"/>
      <c r="TS234" s="48"/>
      <c r="TT234" s="48"/>
      <c r="TU234" s="48"/>
      <c r="TV234" s="48"/>
      <c r="TW234" s="48"/>
      <c r="TX234" s="48"/>
      <c r="TY234" s="48"/>
      <c r="TZ234" s="48"/>
      <c r="UA234" s="48"/>
      <c r="UB234" s="48"/>
      <c r="UC234" s="48"/>
      <c r="UD234" s="48"/>
      <c r="UE234" s="48"/>
      <c r="UF234" s="48"/>
      <c r="UG234" s="48"/>
      <c r="UH234" s="48"/>
      <c r="UI234" s="48"/>
      <c r="UJ234" s="48"/>
      <c r="UK234" s="48"/>
      <c r="UL234" s="48"/>
      <c r="UM234" s="48"/>
      <c r="UN234" s="48"/>
      <c r="UO234" s="48"/>
      <c r="UP234" s="48"/>
      <c r="UQ234" s="48"/>
      <c r="UR234" s="48"/>
      <c r="US234" s="48"/>
      <c r="UT234" s="48"/>
      <c r="UU234" s="48"/>
      <c r="UV234" s="48"/>
      <c r="UW234" s="48"/>
      <c r="UX234" s="48"/>
      <c r="UY234" s="48"/>
      <c r="UZ234" s="48"/>
      <c r="VA234" s="48"/>
      <c r="VB234" s="48"/>
      <c r="VC234" s="48"/>
      <c r="VD234" s="48"/>
      <c r="VE234" s="48"/>
      <c r="VF234" s="48"/>
      <c r="VG234" s="48"/>
      <c r="VH234" s="48"/>
      <c r="VI234" s="48"/>
      <c r="VJ234" s="48"/>
      <c r="VK234" s="48"/>
      <c r="VL234" s="48"/>
      <c r="VM234" s="48"/>
      <c r="VN234" s="48"/>
      <c r="VO234" s="48"/>
      <c r="VP234" s="48"/>
      <c r="VQ234" s="48"/>
      <c r="VR234" s="48"/>
      <c r="VS234" s="48"/>
      <c r="VT234" s="48"/>
      <c r="VU234" s="48"/>
      <c r="VV234" s="48"/>
      <c r="VW234" s="48"/>
      <c r="VX234" s="48"/>
      <c r="VY234" s="48"/>
      <c r="VZ234" s="48"/>
      <c r="WA234" s="48"/>
      <c r="WB234" s="48"/>
      <c r="WC234" s="48"/>
      <c r="WD234" s="48"/>
      <c r="WE234" s="48"/>
      <c r="WF234" s="48"/>
      <c r="WG234" s="48"/>
      <c r="WH234" s="48"/>
      <c r="WI234" s="48"/>
      <c r="WJ234" s="48"/>
      <c r="WK234" s="48"/>
      <c r="WL234" s="48"/>
      <c r="WM234" s="48"/>
      <c r="WN234" s="48"/>
      <c r="WO234" s="48"/>
      <c r="WP234" s="48"/>
      <c r="WQ234" s="48"/>
      <c r="WR234" s="48"/>
      <c r="WS234" s="48"/>
      <c r="WT234" s="48"/>
      <c r="WU234" s="48"/>
      <c r="WV234" s="48"/>
      <c r="WW234" s="48"/>
      <c r="WX234" s="48"/>
      <c r="WY234" s="48"/>
      <c r="WZ234" s="48"/>
      <c r="XA234" s="48"/>
      <c r="XB234" s="48"/>
      <c r="XC234" s="48"/>
      <c r="XD234" s="48"/>
      <c r="XE234" s="48"/>
      <c r="XF234" s="48"/>
      <c r="XG234" s="48"/>
      <c r="XH234" s="48"/>
      <c r="XI234" s="48"/>
      <c r="XJ234" s="48"/>
      <c r="XK234" s="48"/>
      <c r="XL234" s="48"/>
      <c r="XM234" s="48"/>
      <c r="XN234" s="48"/>
      <c r="XO234" s="48"/>
      <c r="XP234" s="48"/>
      <c r="XQ234" s="48"/>
      <c r="XR234" s="48"/>
      <c r="XS234" s="48"/>
      <c r="XT234" s="48"/>
      <c r="XU234" s="48"/>
      <c r="XV234" s="48"/>
      <c r="XW234" s="48"/>
      <c r="XX234" s="48"/>
      <c r="XY234" s="48"/>
      <c r="XZ234" s="48"/>
      <c r="YA234" s="48"/>
      <c r="YB234" s="48"/>
      <c r="YC234" s="48"/>
      <c r="YD234" s="48"/>
      <c r="YE234" s="48"/>
      <c r="YF234" s="48"/>
      <c r="YG234" s="48"/>
      <c r="YH234" s="48"/>
      <c r="YI234" s="48"/>
      <c r="YJ234" s="48"/>
      <c r="YK234" s="48"/>
      <c r="YL234" s="48"/>
      <c r="YM234" s="48"/>
      <c r="YN234" s="48"/>
      <c r="YO234" s="48"/>
      <c r="YP234" s="48"/>
      <c r="YQ234" s="48"/>
      <c r="YR234" s="48"/>
      <c r="YS234" s="48"/>
      <c r="YT234" s="48"/>
      <c r="YU234" s="48"/>
      <c r="YV234" s="48"/>
      <c r="YW234" s="48"/>
      <c r="YX234" s="48"/>
      <c r="YY234" s="48"/>
      <c r="YZ234" s="48"/>
      <c r="ZA234" s="48"/>
      <c r="ZB234" s="48"/>
      <c r="ZC234" s="48"/>
      <c r="ZD234" s="48"/>
      <c r="ZE234" s="48"/>
      <c r="ZF234" s="48"/>
      <c r="ZG234" s="48"/>
      <c r="ZH234" s="48"/>
      <c r="ZI234" s="48"/>
      <c r="ZJ234" s="48"/>
      <c r="ZK234" s="48"/>
      <c r="ZL234" s="48"/>
      <c r="ZM234" s="48"/>
      <c r="ZN234" s="48"/>
      <c r="ZO234" s="48"/>
      <c r="ZP234" s="48"/>
      <c r="ZQ234" s="48"/>
      <c r="ZR234" s="48"/>
      <c r="ZS234" s="48"/>
      <c r="ZT234" s="48"/>
      <c r="ZU234" s="48"/>
      <c r="ZV234" s="48"/>
      <c r="ZW234" s="48"/>
      <c r="ZX234" s="48"/>
      <c r="ZY234" s="48"/>
      <c r="ZZ234" s="48"/>
      <c r="AAA234" s="48"/>
      <c r="AAB234" s="48"/>
      <c r="AAC234" s="48"/>
      <c r="AAD234" s="48"/>
      <c r="AAE234" s="48"/>
      <c r="AAF234" s="48"/>
      <c r="AAG234" s="48"/>
      <c r="AAH234" s="48"/>
      <c r="AAI234" s="48"/>
      <c r="AAJ234" s="48"/>
      <c r="AAK234" s="48"/>
      <c r="AAL234" s="48"/>
      <c r="AAM234" s="48"/>
      <c r="AAN234" s="48"/>
      <c r="AAO234" s="48"/>
      <c r="AAP234" s="48"/>
      <c r="AAQ234" s="48"/>
      <c r="AAR234" s="48"/>
      <c r="AAS234" s="48"/>
      <c r="AAT234" s="48"/>
      <c r="AAU234" s="48"/>
      <c r="AAV234" s="48"/>
      <c r="AAW234" s="48"/>
      <c r="AAX234" s="48"/>
      <c r="AAY234" s="48"/>
      <c r="AAZ234" s="48"/>
      <c r="ABA234" s="48"/>
      <c r="ABB234" s="48"/>
      <c r="ABC234" s="48"/>
      <c r="ABD234" s="48"/>
      <c r="ABE234" s="48"/>
      <c r="ABF234" s="48"/>
      <c r="ABG234" s="48"/>
      <c r="ABH234" s="48"/>
      <c r="ABI234" s="48"/>
      <c r="ABJ234" s="48"/>
      <c r="ABK234" s="48"/>
      <c r="ABL234" s="48"/>
      <c r="ABM234" s="48"/>
      <c r="ABN234" s="48"/>
      <c r="ABO234" s="48"/>
      <c r="ABP234" s="48"/>
      <c r="ABQ234" s="48"/>
      <c r="ABR234" s="48"/>
      <c r="ABS234" s="48"/>
      <c r="ABT234" s="48"/>
      <c r="ABU234" s="48"/>
      <c r="ABV234" s="48"/>
      <c r="ABW234" s="48"/>
      <c r="ABX234" s="48"/>
      <c r="ABY234" s="48"/>
      <c r="ABZ234" s="48"/>
      <c r="ACA234" s="48"/>
      <c r="ACB234" s="48"/>
      <c r="ACC234" s="48"/>
      <c r="ACD234" s="48"/>
      <c r="ACE234" s="48"/>
      <c r="ACF234" s="48"/>
      <c r="ACG234" s="48"/>
      <c r="ACH234" s="48"/>
      <c r="ACI234" s="48"/>
      <c r="ACJ234" s="48"/>
      <c r="ACK234" s="48"/>
      <c r="ACL234" s="48"/>
      <c r="ACM234" s="48"/>
      <c r="ACN234" s="48"/>
      <c r="ACO234" s="48"/>
      <c r="ACP234" s="48"/>
      <c r="ACQ234" s="48"/>
      <c r="ACR234" s="48"/>
      <c r="ACS234" s="48"/>
      <c r="ACT234" s="48"/>
      <c r="ACU234" s="48"/>
      <c r="ACV234" s="48"/>
      <c r="ACW234" s="48"/>
      <c r="ACX234" s="48"/>
      <c r="ACY234" s="48"/>
      <c r="ACZ234" s="48"/>
      <c r="ADA234" s="48"/>
      <c r="ADB234" s="48"/>
      <c r="ADC234" s="48"/>
      <c r="ADD234" s="48"/>
      <c r="ADE234" s="48"/>
      <c r="ADF234" s="48"/>
      <c r="ADG234" s="48"/>
      <c r="ADH234" s="48"/>
      <c r="ADI234" s="48"/>
      <c r="ADJ234" s="48"/>
      <c r="ADK234" s="48"/>
      <c r="ADL234" s="48"/>
      <c r="ADM234" s="48"/>
      <c r="ADN234" s="48"/>
      <c r="ADO234" s="48"/>
      <c r="ADP234" s="48"/>
      <c r="ADQ234" s="48"/>
      <c r="ADR234" s="48"/>
      <c r="ADS234" s="48"/>
      <c r="ADT234" s="48"/>
      <c r="ADU234" s="48"/>
      <c r="ADV234" s="48"/>
      <c r="ADW234" s="48"/>
      <c r="ADX234" s="48"/>
      <c r="ADY234" s="48"/>
      <c r="ADZ234" s="48"/>
      <c r="AEA234" s="48"/>
      <c r="AEB234" s="48"/>
      <c r="AEC234" s="48"/>
      <c r="AED234" s="48"/>
      <c r="AEE234" s="48"/>
      <c r="AEF234" s="48"/>
      <c r="AEG234" s="48"/>
      <c r="AEH234" s="48"/>
      <c r="AEI234" s="48"/>
      <c r="AEJ234" s="48"/>
      <c r="AEK234" s="48"/>
      <c r="AEL234" s="48"/>
      <c r="AEM234" s="48"/>
      <c r="AEN234" s="48"/>
      <c r="AEO234" s="48"/>
      <c r="AEP234" s="48"/>
      <c r="AEQ234" s="48"/>
      <c r="AER234" s="48"/>
      <c r="AES234" s="48"/>
      <c r="AET234" s="48"/>
      <c r="AEU234" s="48"/>
      <c r="AEV234" s="48"/>
      <c r="AEW234" s="48"/>
      <c r="AEX234" s="48"/>
      <c r="AEY234" s="48"/>
      <c r="AEZ234" s="48"/>
      <c r="AFA234" s="48"/>
      <c r="AFB234" s="48"/>
      <c r="AFC234" s="48"/>
      <c r="AFD234" s="48"/>
      <c r="AFE234" s="48"/>
      <c r="AFF234" s="48"/>
      <c r="AFG234" s="48"/>
      <c r="AFH234" s="48"/>
      <c r="AFI234" s="48"/>
      <c r="AFJ234" s="48"/>
      <c r="AFK234" s="48"/>
      <c r="AFL234" s="48"/>
      <c r="AFM234" s="48"/>
      <c r="AFN234" s="48"/>
      <c r="AFO234" s="48"/>
      <c r="AFP234" s="48"/>
      <c r="AFQ234" s="48"/>
      <c r="AFR234" s="48"/>
      <c r="AFS234" s="48"/>
      <c r="AFT234" s="48"/>
      <c r="AFU234" s="48"/>
      <c r="AFV234" s="48"/>
      <c r="AFW234" s="48"/>
      <c r="AFX234" s="48"/>
      <c r="AFY234" s="48"/>
      <c r="AFZ234" s="48"/>
      <c r="AGA234" s="48"/>
      <c r="AGB234" s="48"/>
      <c r="AGC234" s="48"/>
      <c r="AGD234" s="48"/>
      <c r="AGE234" s="48"/>
      <c r="AGF234" s="48"/>
      <c r="AGG234" s="48"/>
      <c r="AGH234" s="48"/>
      <c r="AGI234" s="48"/>
      <c r="AGJ234" s="48"/>
      <c r="AGK234" s="48"/>
      <c r="AGL234" s="48"/>
      <c r="AGM234" s="48"/>
      <c r="AGN234" s="48"/>
      <c r="AGO234" s="48"/>
      <c r="AGP234" s="48"/>
      <c r="AGQ234" s="48"/>
      <c r="AGR234" s="48"/>
      <c r="AGS234" s="48"/>
      <c r="AGT234" s="48"/>
      <c r="AGU234" s="48"/>
      <c r="AGV234" s="48"/>
      <c r="AGW234" s="48"/>
      <c r="AGX234" s="48"/>
      <c r="AGY234" s="48"/>
      <c r="AGZ234" s="48"/>
      <c r="AHA234" s="48"/>
      <c r="AHB234" s="48"/>
      <c r="AHC234" s="48"/>
      <c r="AHD234" s="48"/>
      <c r="AHE234" s="48"/>
      <c r="AHF234" s="48"/>
      <c r="AHG234" s="48"/>
      <c r="AHH234" s="48"/>
      <c r="AHI234" s="48"/>
      <c r="AHJ234" s="48"/>
      <c r="AHK234" s="48"/>
      <c r="AHL234" s="48"/>
      <c r="AHM234" s="48"/>
      <c r="AHN234" s="48"/>
      <c r="AHO234" s="48"/>
      <c r="AHP234" s="48"/>
      <c r="AHQ234" s="48"/>
      <c r="AHR234" s="48"/>
      <c r="AHS234" s="48"/>
      <c r="AHT234" s="48"/>
      <c r="AHU234" s="48"/>
      <c r="AHV234" s="48"/>
      <c r="AHW234" s="48"/>
      <c r="AHX234" s="48"/>
      <c r="AHY234" s="48"/>
      <c r="AHZ234" s="48"/>
      <c r="AIA234" s="48"/>
      <c r="AIB234" s="48"/>
      <c r="AIC234" s="48"/>
      <c r="AID234" s="48"/>
      <c r="AIE234" s="48"/>
      <c r="AIF234" s="48"/>
      <c r="AIG234" s="48"/>
      <c r="AIH234" s="48"/>
      <c r="AII234" s="48"/>
      <c r="AIJ234" s="48"/>
      <c r="AIK234" s="48"/>
      <c r="AIL234" s="48"/>
      <c r="AIM234" s="48"/>
      <c r="AIN234" s="48"/>
      <c r="AIO234" s="48"/>
      <c r="AIP234" s="48"/>
      <c r="AIQ234" s="48"/>
      <c r="AIR234" s="48"/>
      <c r="AIS234" s="48"/>
      <c r="AIT234" s="48"/>
      <c r="AIU234" s="48"/>
      <c r="AIV234" s="48"/>
      <c r="AIW234" s="48"/>
      <c r="AIX234" s="48"/>
      <c r="AIY234" s="48"/>
      <c r="AIZ234" s="48"/>
      <c r="AJA234" s="48"/>
      <c r="AJB234" s="48"/>
      <c r="AJC234" s="48"/>
      <c r="AJD234" s="48"/>
      <c r="AJE234" s="48"/>
      <c r="AJF234" s="48"/>
      <c r="AJG234" s="48"/>
      <c r="AJH234" s="48"/>
      <c r="AJI234" s="48"/>
      <c r="AJJ234" s="48"/>
      <c r="AJK234" s="48"/>
      <c r="AJL234" s="48"/>
      <c r="AJM234" s="48"/>
      <c r="AJN234" s="48"/>
      <c r="AJO234" s="48"/>
      <c r="AJP234" s="48"/>
      <c r="AJQ234" s="48"/>
      <c r="AJR234" s="48"/>
      <c r="AJS234" s="48"/>
      <c r="AJT234" s="48"/>
      <c r="AJU234" s="48"/>
      <c r="AJV234" s="48"/>
      <c r="AJW234" s="48"/>
      <c r="AJX234" s="48"/>
      <c r="AJY234" s="48"/>
      <c r="AJZ234" s="48"/>
      <c r="AKA234" s="48"/>
      <c r="AKB234" s="48"/>
      <c r="AKC234" s="48"/>
      <c r="AKD234" s="48"/>
      <c r="AKE234" s="48"/>
      <c r="AKF234" s="48"/>
      <c r="AKG234" s="48"/>
      <c r="AKH234" s="48"/>
      <c r="AKI234" s="48"/>
      <c r="AKJ234" s="48"/>
      <c r="AKK234" s="48"/>
      <c r="AKL234" s="48"/>
      <c r="AKM234" s="48"/>
      <c r="AKN234" s="48"/>
      <c r="AKO234" s="48"/>
      <c r="AKP234" s="48"/>
      <c r="AKQ234" s="48"/>
      <c r="AKR234" s="48"/>
      <c r="AKS234" s="48"/>
      <c r="AKT234" s="48"/>
      <c r="AKU234" s="48"/>
      <c r="AKV234" s="48"/>
      <c r="AKW234" s="48"/>
      <c r="AKX234" s="48"/>
      <c r="AKY234" s="48"/>
      <c r="AKZ234" s="48"/>
      <c r="ALA234" s="48"/>
      <c r="ALB234" s="48"/>
      <c r="ALC234" s="48"/>
      <c r="ALD234" s="48"/>
      <c r="ALE234" s="48"/>
      <c r="ALF234" s="48"/>
      <c r="ALG234" s="48"/>
      <c r="ALH234" s="48"/>
      <c r="ALI234" s="48"/>
      <c r="ALJ234" s="48"/>
      <c r="ALK234" s="48"/>
      <c r="ALL234" s="48"/>
      <c r="ALM234" s="48"/>
      <c r="ALN234" s="48"/>
      <c r="ALO234" s="48"/>
      <c r="ALP234" s="48"/>
      <c r="ALQ234" s="48"/>
      <c r="ALR234" s="48"/>
      <c r="ALS234" s="48"/>
      <c r="ALT234" s="48"/>
      <c r="ALU234" s="48"/>
      <c r="ALV234" s="48"/>
      <c r="ALW234" s="48"/>
      <c r="ALX234" s="48"/>
      <c r="ALY234" s="48"/>
      <c r="ALZ234" s="48"/>
      <c r="AMA234" s="48"/>
      <c r="AMB234" s="48"/>
      <c r="AMC234" s="48"/>
      <c r="AMD234" s="48"/>
      <c r="AME234" s="48"/>
      <c r="AMF234" s="48"/>
      <c r="AMG234" s="48"/>
      <c r="AMH234" s="48"/>
      <c r="AMI234" s="48"/>
      <c r="AMJ234" s="48"/>
      <c r="AMK234" s="48"/>
    </row>
    <row r="235" spans="1:1025" s="80" customFormat="1" x14ac:dyDescent="0.25">
      <c r="A235" s="121" t="s">
        <v>549</v>
      </c>
      <c r="B235" s="54" t="s">
        <v>138</v>
      </c>
      <c r="C235" s="55">
        <v>15.7</v>
      </c>
      <c r="D235" s="55">
        <v>15.7</v>
      </c>
      <c r="E235" s="55">
        <v>19.8</v>
      </c>
      <c r="F235" s="55">
        <v>289</v>
      </c>
      <c r="G235" s="55">
        <v>24.5</v>
      </c>
      <c r="H235" s="55">
        <v>2.8</v>
      </c>
      <c r="I235" s="55">
        <v>0</v>
      </c>
      <c r="J235" s="55">
        <v>10.7</v>
      </c>
      <c r="K235" s="120" t="s">
        <v>284</v>
      </c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48"/>
      <c r="BE235" s="48"/>
      <c r="BF235" s="48"/>
      <c r="BG235" s="48"/>
      <c r="BH235" s="48"/>
      <c r="BI235" s="48"/>
      <c r="BJ235" s="48"/>
      <c r="BK235" s="48"/>
      <c r="BL235" s="48"/>
      <c r="BM235" s="48"/>
      <c r="BN235" s="48"/>
      <c r="BO235" s="48"/>
      <c r="BP235" s="48"/>
      <c r="BQ235" s="48"/>
      <c r="BR235" s="48"/>
      <c r="BS235" s="48"/>
      <c r="BT235" s="48"/>
      <c r="BU235" s="48"/>
      <c r="BV235" s="48"/>
      <c r="BW235" s="48"/>
      <c r="BX235" s="48"/>
      <c r="BY235" s="48"/>
      <c r="BZ235" s="48"/>
      <c r="CA235" s="48"/>
      <c r="CB235" s="48"/>
      <c r="CC235" s="48"/>
      <c r="CD235" s="48"/>
      <c r="CE235" s="48"/>
      <c r="CF235" s="48"/>
      <c r="CG235" s="48"/>
      <c r="CH235" s="48"/>
      <c r="CI235" s="48"/>
      <c r="CJ235" s="48"/>
      <c r="CK235" s="48"/>
      <c r="CL235" s="48"/>
      <c r="CM235" s="48"/>
      <c r="CN235" s="48"/>
      <c r="CO235" s="48"/>
      <c r="CP235" s="48"/>
      <c r="CQ235" s="48"/>
      <c r="CR235" s="48"/>
      <c r="CS235" s="48"/>
      <c r="CT235" s="48"/>
      <c r="CU235" s="48"/>
      <c r="CV235" s="48"/>
      <c r="CW235" s="48"/>
      <c r="CX235" s="48"/>
      <c r="CY235" s="48"/>
      <c r="CZ235" s="48"/>
      <c r="DA235" s="48"/>
      <c r="DB235" s="48"/>
      <c r="DC235" s="48"/>
      <c r="DD235" s="48"/>
      <c r="DE235" s="48"/>
      <c r="DF235" s="48"/>
      <c r="DG235" s="48"/>
      <c r="DH235" s="48"/>
      <c r="DI235" s="48"/>
      <c r="DJ235" s="48"/>
      <c r="DK235" s="48"/>
      <c r="DL235" s="48"/>
      <c r="DM235" s="48"/>
      <c r="DN235" s="48"/>
      <c r="DO235" s="48"/>
      <c r="DP235" s="48"/>
      <c r="DQ235" s="48"/>
      <c r="DR235" s="48"/>
      <c r="DS235" s="48"/>
      <c r="DT235" s="48"/>
      <c r="DU235" s="48"/>
      <c r="DV235" s="48"/>
      <c r="DW235" s="48"/>
      <c r="DX235" s="48"/>
      <c r="DY235" s="48"/>
      <c r="DZ235" s="48"/>
      <c r="EA235" s="48"/>
      <c r="EB235" s="48"/>
      <c r="EC235" s="48"/>
      <c r="ED235" s="48"/>
      <c r="EE235" s="48"/>
      <c r="EF235" s="48"/>
      <c r="EG235" s="48"/>
      <c r="EH235" s="48"/>
      <c r="EI235" s="48"/>
      <c r="EJ235" s="48"/>
      <c r="EK235" s="48"/>
      <c r="EL235" s="48"/>
      <c r="EM235" s="48"/>
      <c r="EN235" s="48"/>
      <c r="EO235" s="48"/>
      <c r="EP235" s="48"/>
      <c r="EQ235" s="48"/>
      <c r="ER235" s="48"/>
      <c r="ES235" s="48"/>
      <c r="ET235" s="48"/>
      <c r="EU235" s="48"/>
      <c r="EV235" s="48"/>
      <c r="EW235" s="48"/>
      <c r="EX235" s="48"/>
      <c r="EY235" s="48"/>
      <c r="EZ235" s="48"/>
      <c r="FA235" s="48"/>
      <c r="FB235" s="48"/>
      <c r="FC235" s="48"/>
      <c r="FD235" s="48"/>
      <c r="FE235" s="48"/>
      <c r="FF235" s="48"/>
      <c r="FG235" s="48"/>
      <c r="FH235" s="48"/>
      <c r="FI235" s="48"/>
      <c r="FJ235" s="48"/>
      <c r="FK235" s="48"/>
      <c r="FL235" s="48"/>
      <c r="FM235" s="48"/>
      <c r="FN235" s="48"/>
      <c r="FO235" s="48"/>
      <c r="FP235" s="48"/>
      <c r="FQ235" s="48"/>
      <c r="FR235" s="48"/>
      <c r="FS235" s="48"/>
      <c r="FT235" s="48"/>
      <c r="FU235" s="48"/>
      <c r="FV235" s="48"/>
      <c r="FW235" s="48"/>
      <c r="FX235" s="48"/>
      <c r="FY235" s="48"/>
      <c r="FZ235" s="48"/>
      <c r="GA235" s="48"/>
      <c r="GB235" s="48"/>
      <c r="GC235" s="48"/>
      <c r="GD235" s="48"/>
      <c r="GE235" s="48"/>
      <c r="GF235" s="48"/>
      <c r="GG235" s="48"/>
      <c r="GH235" s="48"/>
      <c r="GI235" s="48"/>
      <c r="GJ235" s="48"/>
      <c r="GK235" s="48"/>
      <c r="GL235" s="48"/>
      <c r="GM235" s="48"/>
      <c r="GN235" s="48"/>
      <c r="GO235" s="48"/>
      <c r="GP235" s="48"/>
      <c r="GQ235" s="48"/>
      <c r="GR235" s="48"/>
      <c r="GS235" s="48"/>
      <c r="GT235" s="48"/>
      <c r="GU235" s="48"/>
      <c r="GV235" s="48"/>
      <c r="GW235" s="48"/>
      <c r="GX235" s="48"/>
      <c r="GY235" s="48"/>
      <c r="GZ235" s="48"/>
      <c r="HA235" s="48"/>
      <c r="HB235" s="48"/>
      <c r="HC235" s="48"/>
      <c r="HD235" s="48"/>
      <c r="HE235" s="48"/>
      <c r="HF235" s="48"/>
      <c r="HG235" s="48"/>
      <c r="HH235" s="48"/>
      <c r="HI235" s="48"/>
      <c r="HJ235" s="48"/>
      <c r="HK235" s="48"/>
      <c r="HL235" s="48"/>
      <c r="HM235" s="48"/>
      <c r="HN235" s="48"/>
      <c r="HO235" s="48"/>
      <c r="HP235" s="48"/>
      <c r="HQ235" s="48"/>
      <c r="HR235" s="48"/>
      <c r="HS235" s="48"/>
      <c r="HT235" s="48"/>
      <c r="HU235" s="48"/>
      <c r="HV235" s="48"/>
      <c r="HW235" s="48"/>
      <c r="HX235" s="48"/>
      <c r="HY235" s="48"/>
      <c r="HZ235" s="48"/>
      <c r="IA235" s="48"/>
      <c r="IB235" s="48"/>
      <c r="IC235" s="48"/>
      <c r="ID235" s="48"/>
      <c r="IE235" s="48"/>
      <c r="IF235" s="48"/>
      <c r="IG235" s="48"/>
      <c r="IH235" s="48"/>
      <c r="II235" s="48"/>
      <c r="IJ235" s="48"/>
      <c r="IK235" s="48"/>
      <c r="IL235" s="48"/>
      <c r="IM235" s="48"/>
      <c r="IN235" s="48"/>
      <c r="IO235" s="48"/>
      <c r="IP235" s="48"/>
      <c r="IQ235" s="48"/>
      <c r="IR235" s="48"/>
      <c r="IS235" s="48"/>
      <c r="IT235" s="48"/>
      <c r="IU235" s="48"/>
      <c r="IV235" s="48"/>
      <c r="IW235" s="48"/>
      <c r="IX235" s="48"/>
      <c r="IY235" s="48"/>
      <c r="IZ235" s="48"/>
      <c r="JA235" s="48"/>
      <c r="JB235" s="48"/>
      <c r="JC235" s="48"/>
      <c r="JD235" s="48"/>
      <c r="JE235" s="48"/>
      <c r="JF235" s="48"/>
      <c r="JG235" s="48"/>
      <c r="JH235" s="48"/>
      <c r="JI235" s="48"/>
      <c r="JJ235" s="48"/>
      <c r="JK235" s="48"/>
      <c r="JL235" s="48"/>
      <c r="JM235" s="48"/>
      <c r="JN235" s="48"/>
      <c r="JO235" s="48"/>
      <c r="JP235" s="48"/>
      <c r="JQ235" s="48"/>
      <c r="JR235" s="48"/>
      <c r="JS235" s="48"/>
      <c r="JT235" s="48"/>
      <c r="JU235" s="48"/>
      <c r="JV235" s="48"/>
      <c r="JW235" s="48"/>
      <c r="JX235" s="48"/>
      <c r="JY235" s="48"/>
      <c r="JZ235" s="48"/>
      <c r="KA235" s="48"/>
      <c r="KB235" s="48"/>
      <c r="KC235" s="48"/>
      <c r="KD235" s="48"/>
      <c r="KE235" s="48"/>
      <c r="KF235" s="48"/>
      <c r="KG235" s="48"/>
      <c r="KH235" s="48"/>
      <c r="KI235" s="48"/>
      <c r="KJ235" s="48"/>
      <c r="KK235" s="48"/>
      <c r="KL235" s="48"/>
      <c r="KM235" s="48"/>
      <c r="KN235" s="48"/>
      <c r="KO235" s="48"/>
      <c r="KP235" s="48"/>
      <c r="KQ235" s="48"/>
      <c r="KR235" s="48"/>
      <c r="KS235" s="48"/>
      <c r="KT235" s="48"/>
      <c r="KU235" s="48"/>
      <c r="KV235" s="48"/>
      <c r="KW235" s="48"/>
      <c r="KX235" s="48"/>
      <c r="KY235" s="48"/>
      <c r="KZ235" s="48"/>
      <c r="LA235" s="48"/>
      <c r="LB235" s="48"/>
      <c r="LC235" s="48"/>
      <c r="LD235" s="48"/>
      <c r="LE235" s="48"/>
      <c r="LF235" s="48"/>
      <c r="LG235" s="48"/>
      <c r="LH235" s="48"/>
      <c r="LI235" s="48"/>
      <c r="LJ235" s="48"/>
      <c r="LK235" s="48"/>
      <c r="LL235" s="48"/>
      <c r="LM235" s="48"/>
      <c r="LN235" s="48"/>
      <c r="LO235" s="48"/>
      <c r="LP235" s="48"/>
      <c r="LQ235" s="48"/>
      <c r="LR235" s="48"/>
      <c r="LS235" s="48"/>
      <c r="LT235" s="48"/>
      <c r="LU235" s="48"/>
      <c r="LV235" s="48"/>
      <c r="LW235" s="48"/>
      <c r="LX235" s="48"/>
      <c r="LY235" s="48"/>
      <c r="LZ235" s="48"/>
      <c r="MA235" s="48"/>
      <c r="MB235" s="48"/>
      <c r="MC235" s="48"/>
      <c r="MD235" s="48"/>
      <c r="ME235" s="48"/>
      <c r="MF235" s="48"/>
      <c r="MG235" s="48"/>
      <c r="MH235" s="48"/>
      <c r="MI235" s="48"/>
      <c r="MJ235" s="48"/>
      <c r="MK235" s="48"/>
      <c r="ML235" s="48"/>
      <c r="MM235" s="48"/>
      <c r="MN235" s="48"/>
      <c r="MO235" s="48"/>
      <c r="MP235" s="48"/>
      <c r="MQ235" s="48"/>
      <c r="MR235" s="48"/>
      <c r="MS235" s="48"/>
      <c r="MT235" s="48"/>
      <c r="MU235" s="48"/>
      <c r="MV235" s="48"/>
      <c r="MW235" s="48"/>
      <c r="MX235" s="48"/>
      <c r="MY235" s="48"/>
      <c r="MZ235" s="48"/>
      <c r="NA235" s="48"/>
      <c r="NB235" s="48"/>
      <c r="NC235" s="48"/>
      <c r="ND235" s="48"/>
      <c r="NE235" s="48"/>
      <c r="NF235" s="48"/>
      <c r="NG235" s="48"/>
      <c r="NH235" s="48"/>
      <c r="NI235" s="48"/>
      <c r="NJ235" s="48"/>
      <c r="NK235" s="48"/>
      <c r="NL235" s="48"/>
      <c r="NM235" s="48"/>
      <c r="NN235" s="48"/>
      <c r="NO235" s="48"/>
      <c r="NP235" s="48"/>
      <c r="NQ235" s="48"/>
      <c r="NR235" s="48"/>
      <c r="NS235" s="48"/>
      <c r="NT235" s="48"/>
      <c r="NU235" s="48"/>
      <c r="NV235" s="48"/>
      <c r="NW235" s="48"/>
      <c r="NX235" s="48"/>
      <c r="NY235" s="48"/>
      <c r="NZ235" s="48"/>
      <c r="OA235" s="48"/>
      <c r="OB235" s="48"/>
      <c r="OC235" s="48"/>
      <c r="OD235" s="48"/>
      <c r="OE235" s="48"/>
      <c r="OF235" s="48"/>
      <c r="OG235" s="48"/>
      <c r="OH235" s="48"/>
      <c r="OI235" s="48"/>
      <c r="OJ235" s="48"/>
      <c r="OK235" s="48"/>
      <c r="OL235" s="48"/>
      <c r="OM235" s="48"/>
      <c r="ON235" s="48"/>
      <c r="OO235" s="48"/>
      <c r="OP235" s="48"/>
      <c r="OQ235" s="48"/>
      <c r="OR235" s="48"/>
      <c r="OS235" s="48"/>
      <c r="OT235" s="48"/>
      <c r="OU235" s="48"/>
      <c r="OV235" s="48"/>
      <c r="OW235" s="48"/>
      <c r="OX235" s="48"/>
      <c r="OY235" s="48"/>
      <c r="OZ235" s="48"/>
      <c r="PA235" s="48"/>
      <c r="PB235" s="48"/>
      <c r="PC235" s="48"/>
      <c r="PD235" s="48"/>
      <c r="PE235" s="48"/>
      <c r="PF235" s="48"/>
      <c r="PG235" s="48"/>
      <c r="PH235" s="48"/>
      <c r="PI235" s="48"/>
      <c r="PJ235" s="48"/>
      <c r="PK235" s="48"/>
      <c r="PL235" s="48"/>
      <c r="PM235" s="48"/>
      <c r="PN235" s="48"/>
      <c r="PO235" s="48"/>
      <c r="PP235" s="48"/>
      <c r="PQ235" s="48"/>
      <c r="PR235" s="48"/>
      <c r="PS235" s="48"/>
      <c r="PT235" s="48"/>
      <c r="PU235" s="48"/>
      <c r="PV235" s="48"/>
      <c r="PW235" s="48"/>
      <c r="PX235" s="48"/>
      <c r="PY235" s="48"/>
      <c r="PZ235" s="48"/>
      <c r="QA235" s="48"/>
      <c r="QB235" s="48"/>
      <c r="QC235" s="48"/>
      <c r="QD235" s="48"/>
      <c r="QE235" s="48"/>
      <c r="QF235" s="48"/>
      <c r="QG235" s="48"/>
      <c r="QH235" s="48"/>
      <c r="QI235" s="48"/>
      <c r="QJ235" s="48"/>
      <c r="QK235" s="48"/>
      <c r="QL235" s="48"/>
      <c r="QM235" s="48"/>
      <c r="QN235" s="48"/>
      <c r="QO235" s="48"/>
      <c r="QP235" s="48"/>
      <c r="QQ235" s="48"/>
      <c r="QR235" s="48"/>
      <c r="QS235" s="48"/>
      <c r="QT235" s="48"/>
      <c r="QU235" s="48"/>
      <c r="QV235" s="48"/>
      <c r="QW235" s="48"/>
      <c r="QX235" s="48"/>
      <c r="QY235" s="48"/>
      <c r="QZ235" s="48"/>
      <c r="RA235" s="48"/>
      <c r="RB235" s="48"/>
      <c r="RC235" s="48"/>
      <c r="RD235" s="48"/>
      <c r="RE235" s="48"/>
      <c r="RF235" s="48"/>
      <c r="RG235" s="48"/>
      <c r="RH235" s="48"/>
      <c r="RI235" s="48"/>
      <c r="RJ235" s="48"/>
      <c r="RK235" s="48"/>
      <c r="RL235" s="48"/>
      <c r="RM235" s="48"/>
      <c r="RN235" s="48"/>
      <c r="RO235" s="48"/>
      <c r="RP235" s="48"/>
      <c r="RQ235" s="48"/>
      <c r="RR235" s="48"/>
      <c r="RS235" s="48"/>
      <c r="RT235" s="48"/>
      <c r="RU235" s="48"/>
      <c r="RV235" s="48"/>
      <c r="RW235" s="48"/>
      <c r="RX235" s="48"/>
      <c r="RY235" s="48"/>
      <c r="RZ235" s="48"/>
      <c r="SA235" s="48"/>
      <c r="SB235" s="48"/>
      <c r="SC235" s="48"/>
      <c r="SD235" s="48"/>
      <c r="SE235" s="48"/>
      <c r="SF235" s="48"/>
      <c r="SG235" s="48"/>
      <c r="SH235" s="48"/>
      <c r="SI235" s="48"/>
      <c r="SJ235" s="48"/>
      <c r="SK235" s="48"/>
      <c r="SL235" s="48"/>
      <c r="SM235" s="48"/>
      <c r="SN235" s="48"/>
      <c r="SO235" s="48"/>
      <c r="SP235" s="48"/>
      <c r="SQ235" s="48"/>
      <c r="SR235" s="48"/>
      <c r="SS235" s="48"/>
      <c r="ST235" s="48"/>
      <c r="SU235" s="48"/>
      <c r="SV235" s="48"/>
      <c r="SW235" s="48"/>
      <c r="SX235" s="48"/>
      <c r="SY235" s="48"/>
      <c r="SZ235" s="48"/>
      <c r="TA235" s="48"/>
      <c r="TB235" s="48"/>
      <c r="TC235" s="48"/>
      <c r="TD235" s="48"/>
      <c r="TE235" s="48"/>
      <c r="TF235" s="48"/>
      <c r="TG235" s="48"/>
      <c r="TH235" s="48"/>
      <c r="TI235" s="48"/>
      <c r="TJ235" s="48"/>
      <c r="TK235" s="48"/>
      <c r="TL235" s="48"/>
      <c r="TM235" s="48"/>
      <c r="TN235" s="48"/>
      <c r="TO235" s="48"/>
      <c r="TP235" s="48"/>
      <c r="TQ235" s="48"/>
      <c r="TR235" s="48"/>
      <c r="TS235" s="48"/>
      <c r="TT235" s="48"/>
      <c r="TU235" s="48"/>
      <c r="TV235" s="48"/>
      <c r="TW235" s="48"/>
      <c r="TX235" s="48"/>
      <c r="TY235" s="48"/>
      <c r="TZ235" s="48"/>
      <c r="UA235" s="48"/>
      <c r="UB235" s="48"/>
      <c r="UC235" s="48"/>
      <c r="UD235" s="48"/>
      <c r="UE235" s="48"/>
      <c r="UF235" s="48"/>
      <c r="UG235" s="48"/>
      <c r="UH235" s="48"/>
      <c r="UI235" s="48"/>
      <c r="UJ235" s="48"/>
      <c r="UK235" s="48"/>
      <c r="UL235" s="48"/>
      <c r="UM235" s="48"/>
      <c r="UN235" s="48"/>
      <c r="UO235" s="48"/>
      <c r="UP235" s="48"/>
      <c r="UQ235" s="48"/>
      <c r="UR235" s="48"/>
      <c r="US235" s="48"/>
      <c r="UT235" s="48"/>
      <c r="UU235" s="48"/>
      <c r="UV235" s="48"/>
      <c r="UW235" s="48"/>
      <c r="UX235" s="48"/>
      <c r="UY235" s="48"/>
      <c r="UZ235" s="48"/>
      <c r="VA235" s="48"/>
      <c r="VB235" s="48"/>
      <c r="VC235" s="48"/>
      <c r="VD235" s="48"/>
      <c r="VE235" s="48"/>
      <c r="VF235" s="48"/>
      <c r="VG235" s="48"/>
      <c r="VH235" s="48"/>
      <c r="VI235" s="48"/>
      <c r="VJ235" s="48"/>
      <c r="VK235" s="48"/>
      <c r="VL235" s="48"/>
      <c r="VM235" s="48"/>
      <c r="VN235" s="48"/>
      <c r="VO235" s="48"/>
      <c r="VP235" s="48"/>
      <c r="VQ235" s="48"/>
      <c r="VR235" s="48"/>
      <c r="VS235" s="48"/>
      <c r="VT235" s="48"/>
      <c r="VU235" s="48"/>
      <c r="VV235" s="48"/>
      <c r="VW235" s="48"/>
      <c r="VX235" s="48"/>
      <c r="VY235" s="48"/>
      <c r="VZ235" s="48"/>
      <c r="WA235" s="48"/>
      <c r="WB235" s="48"/>
      <c r="WC235" s="48"/>
      <c r="WD235" s="48"/>
      <c r="WE235" s="48"/>
      <c r="WF235" s="48"/>
      <c r="WG235" s="48"/>
      <c r="WH235" s="48"/>
      <c r="WI235" s="48"/>
      <c r="WJ235" s="48"/>
      <c r="WK235" s="48"/>
      <c r="WL235" s="48"/>
      <c r="WM235" s="48"/>
      <c r="WN235" s="48"/>
      <c r="WO235" s="48"/>
      <c r="WP235" s="48"/>
      <c r="WQ235" s="48"/>
      <c r="WR235" s="48"/>
      <c r="WS235" s="48"/>
      <c r="WT235" s="48"/>
      <c r="WU235" s="48"/>
      <c r="WV235" s="48"/>
      <c r="WW235" s="48"/>
      <c r="WX235" s="48"/>
      <c r="WY235" s="48"/>
      <c r="WZ235" s="48"/>
      <c r="XA235" s="48"/>
      <c r="XB235" s="48"/>
      <c r="XC235" s="48"/>
      <c r="XD235" s="48"/>
      <c r="XE235" s="48"/>
      <c r="XF235" s="48"/>
      <c r="XG235" s="48"/>
      <c r="XH235" s="48"/>
      <c r="XI235" s="48"/>
      <c r="XJ235" s="48"/>
      <c r="XK235" s="48"/>
      <c r="XL235" s="48"/>
      <c r="XM235" s="48"/>
      <c r="XN235" s="48"/>
      <c r="XO235" s="48"/>
      <c r="XP235" s="48"/>
      <c r="XQ235" s="48"/>
      <c r="XR235" s="48"/>
      <c r="XS235" s="48"/>
      <c r="XT235" s="48"/>
      <c r="XU235" s="48"/>
      <c r="XV235" s="48"/>
      <c r="XW235" s="48"/>
      <c r="XX235" s="48"/>
      <c r="XY235" s="48"/>
      <c r="XZ235" s="48"/>
      <c r="YA235" s="48"/>
      <c r="YB235" s="48"/>
      <c r="YC235" s="48"/>
      <c r="YD235" s="48"/>
      <c r="YE235" s="48"/>
      <c r="YF235" s="48"/>
      <c r="YG235" s="48"/>
      <c r="YH235" s="48"/>
      <c r="YI235" s="48"/>
      <c r="YJ235" s="48"/>
      <c r="YK235" s="48"/>
      <c r="YL235" s="48"/>
      <c r="YM235" s="48"/>
      <c r="YN235" s="48"/>
      <c r="YO235" s="48"/>
      <c r="YP235" s="48"/>
      <c r="YQ235" s="48"/>
      <c r="YR235" s="48"/>
      <c r="YS235" s="48"/>
      <c r="YT235" s="48"/>
      <c r="YU235" s="48"/>
      <c r="YV235" s="48"/>
      <c r="YW235" s="48"/>
      <c r="YX235" s="48"/>
      <c r="YY235" s="48"/>
      <c r="YZ235" s="48"/>
      <c r="ZA235" s="48"/>
      <c r="ZB235" s="48"/>
      <c r="ZC235" s="48"/>
      <c r="ZD235" s="48"/>
      <c r="ZE235" s="48"/>
      <c r="ZF235" s="48"/>
      <c r="ZG235" s="48"/>
      <c r="ZH235" s="48"/>
      <c r="ZI235" s="48"/>
      <c r="ZJ235" s="48"/>
      <c r="ZK235" s="48"/>
      <c r="ZL235" s="48"/>
      <c r="ZM235" s="48"/>
      <c r="ZN235" s="48"/>
      <c r="ZO235" s="48"/>
      <c r="ZP235" s="48"/>
      <c r="ZQ235" s="48"/>
      <c r="ZR235" s="48"/>
      <c r="ZS235" s="48"/>
      <c r="ZT235" s="48"/>
      <c r="ZU235" s="48"/>
      <c r="ZV235" s="48"/>
      <c r="ZW235" s="48"/>
      <c r="ZX235" s="48"/>
      <c r="ZY235" s="48"/>
      <c r="ZZ235" s="48"/>
      <c r="AAA235" s="48"/>
      <c r="AAB235" s="48"/>
      <c r="AAC235" s="48"/>
      <c r="AAD235" s="48"/>
      <c r="AAE235" s="48"/>
      <c r="AAF235" s="48"/>
      <c r="AAG235" s="48"/>
      <c r="AAH235" s="48"/>
      <c r="AAI235" s="48"/>
      <c r="AAJ235" s="48"/>
      <c r="AAK235" s="48"/>
      <c r="AAL235" s="48"/>
      <c r="AAM235" s="48"/>
      <c r="AAN235" s="48"/>
      <c r="AAO235" s="48"/>
      <c r="AAP235" s="48"/>
      <c r="AAQ235" s="48"/>
      <c r="AAR235" s="48"/>
      <c r="AAS235" s="48"/>
      <c r="AAT235" s="48"/>
      <c r="AAU235" s="48"/>
      <c r="AAV235" s="48"/>
      <c r="AAW235" s="48"/>
      <c r="AAX235" s="48"/>
      <c r="AAY235" s="48"/>
      <c r="AAZ235" s="48"/>
      <c r="ABA235" s="48"/>
      <c r="ABB235" s="48"/>
      <c r="ABC235" s="48"/>
      <c r="ABD235" s="48"/>
      <c r="ABE235" s="48"/>
      <c r="ABF235" s="48"/>
      <c r="ABG235" s="48"/>
      <c r="ABH235" s="48"/>
      <c r="ABI235" s="48"/>
      <c r="ABJ235" s="48"/>
      <c r="ABK235" s="48"/>
      <c r="ABL235" s="48"/>
      <c r="ABM235" s="48"/>
      <c r="ABN235" s="48"/>
      <c r="ABO235" s="48"/>
      <c r="ABP235" s="48"/>
      <c r="ABQ235" s="48"/>
      <c r="ABR235" s="48"/>
      <c r="ABS235" s="48"/>
      <c r="ABT235" s="48"/>
      <c r="ABU235" s="48"/>
      <c r="ABV235" s="48"/>
      <c r="ABW235" s="48"/>
      <c r="ABX235" s="48"/>
      <c r="ABY235" s="48"/>
      <c r="ABZ235" s="48"/>
      <c r="ACA235" s="48"/>
      <c r="ACB235" s="48"/>
      <c r="ACC235" s="48"/>
      <c r="ACD235" s="48"/>
      <c r="ACE235" s="48"/>
      <c r="ACF235" s="48"/>
      <c r="ACG235" s="48"/>
      <c r="ACH235" s="48"/>
      <c r="ACI235" s="48"/>
      <c r="ACJ235" s="48"/>
      <c r="ACK235" s="48"/>
      <c r="ACL235" s="48"/>
      <c r="ACM235" s="48"/>
      <c r="ACN235" s="48"/>
      <c r="ACO235" s="48"/>
      <c r="ACP235" s="48"/>
      <c r="ACQ235" s="48"/>
      <c r="ACR235" s="48"/>
      <c r="ACS235" s="48"/>
      <c r="ACT235" s="48"/>
      <c r="ACU235" s="48"/>
      <c r="ACV235" s="48"/>
      <c r="ACW235" s="48"/>
      <c r="ACX235" s="48"/>
      <c r="ACY235" s="48"/>
      <c r="ACZ235" s="48"/>
      <c r="ADA235" s="48"/>
      <c r="ADB235" s="48"/>
      <c r="ADC235" s="48"/>
      <c r="ADD235" s="48"/>
      <c r="ADE235" s="48"/>
      <c r="ADF235" s="48"/>
      <c r="ADG235" s="48"/>
      <c r="ADH235" s="48"/>
      <c r="ADI235" s="48"/>
      <c r="ADJ235" s="48"/>
      <c r="ADK235" s="48"/>
      <c r="ADL235" s="48"/>
      <c r="ADM235" s="48"/>
      <c r="ADN235" s="48"/>
      <c r="ADO235" s="48"/>
      <c r="ADP235" s="48"/>
      <c r="ADQ235" s="48"/>
      <c r="ADR235" s="48"/>
      <c r="ADS235" s="48"/>
      <c r="ADT235" s="48"/>
      <c r="ADU235" s="48"/>
      <c r="ADV235" s="48"/>
      <c r="ADW235" s="48"/>
      <c r="ADX235" s="48"/>
      <c r="ADY235" s="48"/>
      <c r="ADZ235" s="48"/>
      <c r="AEA235" s="48"/>
      <c r="AEB235" s="48"/>
      <c r="AEC235" s="48"/>
      <c r="AED235" s="48"/>
      <c r="AEE235" s="48"/>
      <c r="AEF235" s="48"/>
      <c r="AEG235" s="48"/>
      <c r="AEH235" s="48"/>
      <c r="AEI235" s="48"/>
      <c r="AEJ235" s="48"/>
      <c r="AEK235" s="48"/>
      <c r="AEL235" s="48"/>
      <c r="AEM235" s="48"/>
      <c r="AEN235" s="48"/>
      <c r="AEO235" s="48"/>
      <c r="AEP235" s="48"/>
      <c r="AEQ235" s="48"/>
      <c r="AER235" s="48"/>
      <c r="AES235" s="48"/>
      <c r="AET235" s="48"/>
      <c r="AEU235" s="48"/>
      <c r="AEV235" s="48"/>
      <c r="AEW235" s="48"/>
      <c r="AEX235" s="48"/>
      <c r="AEY235" s="48"/>
      <c r="AEZ235" s="48"/>
      <c r="AFA235" s="48"/>
      <c r="AFB235" s="48"/>
      <c r="AFC235" s="48"/>
      <c r="AFD235" s="48"/>
      <c r="AFE235" s="48"/>
      <c r="AFF235" s="48"/>
      <c r="AFG235" s="48"/>
      <c r="AFH235" s="48"/>
      <c r="AFI235" s="48"/>
      <c r="AFJ235" s="48"/>
      <c r="AFK235" s="48"/>
      <c r="AFL235" s="48"/>
      <c r="AFM235" s="48"/>
      <c r="AFN235" s="48"/>
      <c r="AFO235" s="48"/>
      <c r="AFP235" s="48"/>
      <c r="AFQ235" s="48"/>
      <c r="AFR235" s="48"/>
      <c r="AFS235" s="48"/>
      <c r="AFT235" s="48"/>
      <c r="AFU235" s="48"/>
      <c r="AFV235" s="48"/>
      <c r="AFW235" s="48"/>
      <c r="AFX235" s="48"/>
      <c r="AFY235" s="48"/>
      <c r="AFZ235" s="48"/>
      <c r="AGA235" s="48"/>
      <c r="AGB235" s="48"/>
      <c r="AGC235" s="48"/>
      <c r="AGD235" s="48"/>
      <c r="AGE235" s="48"/>
      <c r="AGF235" s="48"/>
      <c r="AGG235" s="48"/>
      <c r="AGH235" s="48"/>
      <c r="AGI235" s="48"/>
      <c r="AGJ235" s="48"/>
      <c r="AGK235" s="48"/>
      <c r="AGL235" s="48"/>
      <c r="AGM235" s="48"/>
      <c r="AGN235" s="48"/>
      <c r="AGO235" s="48"/>
      <c r="AGP235" s="48"/>
      <c r="AGQ235" s="48"/>
      <c r="AGR235" s="48"/>
      <c r="AGS235" s="48"/>
      <c r="AGT235" s="48"/>
      <c r="AGU235" s="48"/>
      <c r="AGV235" s="48"/>
      <c r="AGW235" s="48"/>
      <c r="AGX235" s="48"/>
      <c r="AGY235" s="48"/>
      <c r="AGZ235" s="48"/>
      <c r="AHA235" s="48"/>
      <c r="AHB235" s="48"/>
      <c r="AHC235" s="48"/>
      <c r="AHD235" s="48"/>
      <c r="AHE235" s="48"/>
      <c r="AHF235" s="48"/>
      <c r="AHG235" s="48"/>
      <c r="AHH235" s="48"/>
      <c r="AHI235" s="48"/>
      <c r="AHJ235" s="48"/>
      <c r="AHK235" s="48"/>
      <c r="AHL235" s="48"/>
      <c r="AHM235" s="48"/>
      <c r="AHN235" s="48"/>
      <c r="AHO235" s="48"/>
      <c r="AHP235" s="48"/>
      <c r="AHQ235" s="48"/>
      <c r="AHR235" s="48"/>
      <c r="AHS235" s="48"/>
      <c r="AHT235" s="48"/>
      <c r="AHU235" s="48"/>
      <c r="AHV235" s="48"/>
      <c r="AHW235" s="48"/>
      <c r="AHX235" s="48"/>
      <c r="AHY235" s="48"/>
      <c r="AHZ235" s="48"/>
      <c r="AIA235" s="48"/>
      <c r="AIB235" s="48"/>
      <c r="AIC235" s="48"/>
      <c r="AID235" s="48"/>
      <c r="AIE235" s="48"/>
      <c r="AIF235" s="48"/>
      <c r="AIG235" s="48"/>
      <c r="AIH235" s="48"/>
      <c r="AII235" s="48"/>
      <c r="AIJ235" s="48"/>
      <c r="AIK235" s="48"/>
      <c r="AIL235" s="48"/>
      <c r="AIM235" s="48"/>
      <c r="AIN235" s="48"/>
      <c r="AIO235" s="48"/>
      <c r="AIP235" s="48"/>
      <c r="AIQ235" s="48"/>
      <c r="AIR235" s="48"/>
      <c r="AIS235" s="48"/>
      <c r="AIT235" s="48"/>
      <c r="AIU235" s="48"/>
      <c r="AIV235" s="48"/>
      <c r="AIW235" s="48"/>
      <c r="AIX235" s="48"/>
      <c r="AIY235" s="48"/>
      <c r="AIZ235" s="48"/>
      <c r="AJA235" s="48"/>
      <c r="AJB235" s="48"/>
      <c r="AJC235" s="48"/>
      <c r="AJD235" s="48"/>
      <c r="AJE235" s="48"/>
      <c r="AJF235" s="48"/>
      <c r="AJG235" s="48"/>
      <c r="AJH235" s="48"/>
      <c r="AJI235" s="48"/>
      <c r="AJJ235" s="48"/>
      <c r="AJK235" s="48"/>
      <c r="AJL235" s="48"/>
      <c r="AJM235" s="48"/>
      <c r="AJN235" s="48"/>
      <c r="AJO235" s="48"/>
      <c r="AJP235" s="48"/>
      <c r="AJQ235" s="48"/>
      <c r="AJR235" s="48"/>
      <c r="AJS235" s="48"/>
      <c r="AJT235" s="48"/>
      <c r="AJU235" s="48"/>
      <c r="AJV235" s="48"/>
      <c r="AJW235" s="48"/>
      <c r="AJX235" s="48"/>
      <c r="AJY235" s="48"/>
      <c r="AJZ235" s="48"/>
      <c r="AKA235" s="48"/>
      <c r="AKB235" s="48"/>
      <c r="AKC235" s="48"/>
      <c r="AKD235" s="48"/>
      <c r="AKE235" s="48"/>
      <c r="AKF235" s="48"/>
      <c r="AKG235" s="48"/>
      <c r="AKH235" s="48"/>
      <c r="AKI235" s="48"/>
      <c r="AKJ235" s="48"/>
      <c r="AKK235" s="48"/>
      <c r="AKL235" s="48"/>
      <c r="AKM235" s="48"/>
      <c r="AKN235" s="48"/>
      <c r="AKO235" s="48"/>
      <c r="AKP235" s="48"/>
      <c r="AKQ235" s="48"/>
      <c r="AKR235" s="48"/>
      <c r="AKS235" s="48"/>
      <c r="AKT235" s="48"/>
      <c r="AKU235" s="48"/>
      <c r="AKV235" s="48"/>
      <c r="AKW235" s="48"/>
      <c r="AKX235" s="48"/>
      <c r="AKY235" s="48"/>
      <c r="AKZ235" s="48"/>
      <c r="ALA235" s="48"/>
      <c r="ALB235" s="48"/>
      <c r="ALC235" s="48"/>
      <c r="ALD235" s="48"/>
      <c r="ALE235" s="48"/>
      <c r="ALF235" s="48"/>
      <c r="ALG235" s="48"/>
      <c r="ALH235" s="48"/>
      <c r="ALI235" s="48"/>
      <c r="ALJ235" s="48"/>
      <c r="ALK235" s="48"/>
      <c r="ALL235" s="48"/>
      <c r="ALM235" s="48"/>
      <c r="ALN235" s="48"/>
      <c r="ALO235" s="48"/>
      <c r="ALP235" s="48"/>
      <c r="ALQ235" s="48"/>
      <c r="ALR235" s="48"/>
      <c r="ALS235" s="48"/>
      <c r="ALT235" s="48"/>
      <c r="ALU235" s="48"/>
      <c r="ALV235" s="48"/>
      <c r="ALW235" s="48"/>
      <c r="ALX235" s="48"/>
      <c r="ALY235" s="48"/>
      <c r="ALZ235" s="48"/>
      <c r="AMA235" s="48"/>
      <c r="AMB235" s="48"/>
      <c r="AMC235" s="48"/>
      <c r="AMD235" s="48"/>
      <c r="AME235" s="48"/>
      <c r="AMF235" s="48"/>
      <c r="AMG235" s="48"/>
      <c r="AMH235" s="48"/>
      <c r="AMI235" s="48"/>
      <c r="AMJ235" s="48"/>
      <c r="AMK235" s="48"/>
    </row>
    <row r="236" spans="1:1025" s="80" customFormat="1" x14ac:dyDescent="0.25">
      <c r="A236" s="140" t="s">
        <v>552</v>
      </c>
      <c r="B236" s="54" t="s">
        <v>138</v>
      </c>
      <c r="C236" s="55">
        <v>1.6</v>
      </c>
      <c r="D236" s="55">
        <v>6</v>
      </c>
      <c r="E236" s="55">
        <v>8.4</v>
      </c>
      <c r="F236" s="55">
        <v>97</v>
      </c>
      <c r="G236" s="55">
        <v>36</v>
      </c>
      <c r="H236" s="55">
        <v>11.7</v>
      </c>
      <c r="I236" s="55">
        <v>0.5</v>
      </c>
      <c r="J236" s="55">
        <v>30.7</v>
      </c>
      <c r="K236" s="120" t="s">
        <v>240</v>
      </c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  <c r="BR236" s="48"/>
      <c r="BS236" s="48"/>
      <c r="BT236" s="48"/>
      <c r="BU236" s="48"/>
      <c r="BV236" s="48"/>
      <c r="BW236" s="48"/>
      <c r="BX236" s="48"/>
      <c r="BY236" s="48"/>
      <c r="BZ236" s="48"/>
      <c r="CA236" s="48"/>
      <c r="CB236" s="48"/>
      <c r="CC236" s="48"/>
      <c r="CD236" s="48"/>
      <c r="CE236" s="48"/>
      <c r="CF236" s="48"/>
      <c r="CG236" s="48"/>
      <c r="CH236" s="48"/>
      <c r="CI236" s="48"/>
      <c r="CJ236" s="48"/>
      <c r="CK236" s="48"/>
      <c r="CL236" s="48"/>
      <c r="CM236" s="48"/>
      <c r="CN236" s="48"/>
      <c r="CO236" s="48"/>
      <c r="CP236" s="48"/>
      <c r="CQ236" s="48"/>
      <c r="CR236" s="48"/>
      <c r="CS236" s="48"/>
      <c r="CT236" s="48"/>
      <c r="CU236" s="48"/>
      <c r="CV236" s="48"/>
      <c r="CW236" s="48"/>
      <c r="CX236" s="48"/>
      <c r="CY236" s="48"/>
      <c r="CZ236" s="48"/>
      <c r="DA236" s="48"/>
      <c r="DB236" s="48"/>
      <c r="DC236" s="48"/>
      <c r="DD236" s="48"/>
      <c r="DE236" s="48"/>
      <c r="DF236" s="48"/>
      <c r="DG236" s="48"/>
      <c r="DH236" s="48"/>
      <c r="DI236" s="48"/>
      <c r="DJ236" s="48"/>
      <c r="DK236" s="48"/>
      <c r="DL236" s="48"/>
      <c r="DM236" s="48"/>
      <c r="DN236" s="48"/>
      <c r="DO236" s="48"/>
      <c r="DP236" s="48"/>
      <c r="DQ236" s="48"/>
      <c r="DR236" s="48"/>
      <c r="DS236" s="48"/>
      <c r="DT236" s="48"/>
      <c r="DU236" s="48"/>
      <c r="DV236" s="48"/>
      <c r="DW236" s="48"/>
      <c r="DX236" s="48"/>
      <c r="DY236" s="48"/>
      <c r="DZ236" s="48"/>
      <c r="EA236" s="48"/>
      <c r="EB236" s="48"/>
      <c r="EC236" s="48"/>
      <c r="ED236" s="48"/>
      <c r="EE236" s="48"/>
      <c r="EF236" s="48"/>
      <c r="EG236" s="48"/>
      <c r="EH236" s="48"/>
      <c r="EI236" s="48"/>
      <c r="EJ236" s="48"/>
      <c r="EK236" s="48"/>
      <c r="EL236" s="48"/>
      <c r="EM236" s="48"/>
      <c r="EN236" s="48"/>
      <c r="EO236" s="48"/>
      <c r="EP236" s="48"/>
      <c r="EQ236" s="48"/>
      <c r="ER236" s="48"/>
      <c r="ES236" s="48"/>
      <c r="ET236" s="48"/>
      <c r="EU236" s="48"/>
      <c r="EV236" s="48"/>
      <c r="EW236" s="48"/>
      <c r="EX236" s="48"/>
      <c r="EY236" s="48"/>
      <c r="EZ236" s="48"/>
      <c r="FA236" s="48"/>
      <c r="FB236" s="48"/>
      <c r="FC236" s="48"/>
      <c r="FD236" s="48"/>
      <c r="FE236" s="48"/>
      <c r="FF236" s="48"/>
      <c r="FG236" s="48"/>
      <c r="FH236" s="48"/>
      <c r="FI236" s="48"/>
      <c r="FJ236" s="48"/>
      <c r="FK236" s="48"/>
      <c r="FL236" s="48"/>
      <c r="FM236" s="48"/>
      <c r="FN236" s="48"/>
      <c r="FO236" s="48"/>
      <c r="FP236" s="48"/>
      <c r="FQ236" s="48"/>
      <c r="FR236" s="48"/>
      <c r="FS236" s="48"/>
      <c r="FT236" s="48"/>
      <c r="FU236" s="48"/>
      <c r="FV236" s="48"/>
      <c r="FW236" s="48"/>
      <c r="FX236" s="48"/>
      <c r="FY236" s="48"/>
      <c r="FZ236" s="48"/>
      <c r="GA236" s="48"/>
      <c r="GB236" s="48"/>
      <c r="GC236" s="48"/>
      <c r="GD236" s="48"/>
      <c r="GE236" s="48"/>
      <c r="GF236" s="48"/>
      <c r="GG236" s="48"/>
      <c r="GH236" s="48"/>
      <c r="GI236" s="48"/>
      <c r="GJ236" s="48"/>
      <c r="GK236" s="48"/>
      <c r="GL236" s="48"/>
      <c r="GM236" s="48"/>
      <c r="GN236" s="48"/>
      <c r="GO236" s="48"/>
      <c r="GP236" s="48"/>
      <c r="GQ236" s="48"/>
      <c r="GR236" s="48"/>
      <c r="GS236" s="48"/>
      <c r="GT236" s="48"/>
      <c r="GU236" s="48"/>
      <c r="GV236" s="48"/>
      <c r="GW236" s="48"/>
      <c r="GX236" s="48"/>
      <c r="GY236" s="48"/>
      <c r="GZ236" s="48"/>
      <c r="HA236" s="48"/>
      <c r="HB236" s="48"/>
      <c r="HC236" s="48"/>
      <c r="HD236" s="48"/>
      <c r="HE236" s="48"/>
      <c r="HF236" s="48"/>
      <c r="HG236" s="48"/>
      <c r="HH236" s="48"/>
      <c r="HI236" s="48"/>
      <c r="HJ236" s="48"/>
      <c r="HK236" s="48"/>
      <c r="HL236" s="48"/>
      <c r="HM236" s="48"/>
      <c r="HN236" s="48"/>
      <c r="HO236" s="48"/>
      <c r="HP236" s="48"/>
      <c r="HQ236" s="48"/>
      <c r="HR236" s="48"/>
      <c r="HS236" s="48"/>
      <c r="HT236" s="48"/>
      <c r="HU236" s="48"/>
      <c r="HV236" s="48"/>
      <c r="HW236" s="48"/>
      <c r="HX236" s="48"/>
      <c r="HY236" s="48"/>
      <c r="HZ236" s="48"/>
      <c r="IA236" s="48"/>
      <c r="IB236" s="48"/>
      <c r="IC236" s="48"/>
      <c r="ID236" s="48"/>
      <c r="IE236" s="48"/>
      <c r="IF236" s="48"/>
      <c r="IG236" s="48"/>
      <c r="IH236" s="48"/>
      <c r="II236" s="48"/>
      <c r="IJ236" s="48"/>
      <c r="IK236" s="48"/>
      <c r="IL236" s="48"/>
      <c r="IM236" s="48"/>
      <c r="IN236" s="48"/>
      <c r="IO236" s="48"/>
      <c r="IP236" s="48"/>
      <c r="IQ236" s="48"/>
      <c r="IR236" s="48"/>
      <c r="IS236" s="48"/>
      <c r="IT236" s="48"/>
      <c r="IU236" s="48"/>
      <c r="IV236" s="48"/>
      <c r="IW236" s="48"/>
      <c r="IX236" s="48"/>
      <c r="IY236" s="48"/>
      <c r="IZ236" s="48"/>
      <c r="JA236" s="48"/>
      <c r="JB236" s="48"/>
      <c r="JC236" s="48"/>
      <c r="JD236" s="48"/>
      <c r="JE236" s="48"/>
      <c r="JF236" s="48"/>
      <c r="JG236" s="48"/>
      <c r="JH236" s="48"/>
      <c r="JI236" s="48"/>
      <c r="JJ236" s="48"/>
      <c r="JK236" s="48"/>
      <c r="JL236" s="48"/>
      <c r="JM236" s="48"/>
      <c r="JN236" s="48"/>
      <c r="JO236" s="48"/>
      <c r="JP236" s="48"/>
      <c r="JQ236" s="48"/>
      <c r="JR236" s="48"/>
      <c r="JS236" s="48"/>
      <c r="JT236" s="48"/>
      <c r="JU236" s="48"/>
      <c r="JV236" s="48"/>
      <c r="JW236" s="48"/>
      <c r="JX236" s="48"/>
      <c r="JY236" s="48"/>
      <c r="JZ236" s="48"/>
      <c r="KA236" s="48"/>
      <c r="KB236" s="48"/>
      <c r="KC236" s="48"/>
      <c r="KD236" s="48"/>
      <c r="KE236" s="48"/>
      <c r="KF236" s="48"/>
      <c r="KG236" s="48"/>
      <c r="KH236" s="48"/>
      <c r="KI236" s="48"/>
      <c r="KJ236" s="48"/>
      <c r="KK236" s="48"/>
      <c r="KL236" s="48"/>
      <c r="KM236" s="48"/>
      <c r="KN236" s="48"/>
      <c r="KO236" s="48"/>
      <c r="KP236" s="48"/>
      <c r="KQ236" s="48"/>
      <c r="KR236" s="48"/>
      <c r="KS236" s="48"/>
      <c r="KT236" s="48"/>
      <c r="KU236" s="48"/>
      <c r="KV236" s="48"/>
      <c r="KW236" s="48"/>
      <c r="KX236" s="48"/>
      <c r="KY236" s="48"/>
      <c r="KZ236" s="48"/>
      <c r="LA236" s="48"/>
      <c r="LB236" s="48"/>
      <c r="LC236" s="48"/>
      <c r="LD236" s="48"/>
      <c r="LE236" s="48"/>
      <c r="LF236" s="48"/>
      <c r="LG236" s="48"/>
      <c r="LH236" s="48"/>
      <c r="LI236" s="48"/>
      <c r="LJ236" s="48"/>
      <c r="LK236" s="48"/>
      <c r="LL236" s="48"/>
      <c r="LM236" s="48"/>
      <c r="LN236" s="48"/>
      <c r="LO236" s="48"/>
      <c r="LP236" s="48"/>
      <c r="LQ236" s="48"/>
      <c r="LR236" s="48"/>
      <c r="LS236" s="48"/>
      <c r="LT236" s="48"/>
      <c r="LU236" s="48"/>
      <c r="LV236" s="48"/>
      <c r="LW236" s="48"/>
      <c r="LX236" s="48"/>
      <c r="LY236" s="48"/>
      <c r="LZ236" s="48"/>
      <c r="MA236" s="48"/>
      <c r="MB236" s="48"/>
      <c r="MC236" s="48"/>
      <c r="MD236" s="48"/>
      <c r="ME236" s="48"/>
      <c r="MF236" s="48"/>
      <c r="MG236" s="48"/>
      <c r="MH236" s="48"/>
      <c r="MI236" s="48"/>
      <c r="MJ236" s="48"/>
      <c r="MK236" s="48"/>
      <c r="ML236" s="48"/>
      <c r="MM236" s="48"/>
      <c r="MN236" s="48"/>
      <c r="MO236" s="48"/>
      <c r="MP236" s="48"/>
      <c r="MQ236" s="48"/>
      <c r="MR236" s="48"/>
      <c r="MS236" s="48"/>
      <c r="MT236" s="48"/>
      <c r="MU236" s="48"/>
      <c r="MV236" s="48"/>
      <c r="MW236" s="48"/>
      <c r="MX236" s="48"/>
      <c r="MY236" s="48"/>
      <c r="MZ236" s="48"/>
      <c r="NA236" s="48"/>
      <c r="NB236" s="48"/>
      <c r="NC236" s="48"/>
      <c r="ND236" s="48"/>
      <c r="NE236" s="48"/>
      <c r="NF236" s="48"/>
      <c r="NG236" s="48"/>
      <c r="NH236" s="48"/>
      <c r="NI236" s="48"/>
      <c r="NJ236" s="48"/>
      <c r="NK236" s="48"/>
      <c r="NL236" s="48"/>
      <c r="NM236" s="48"/>
      <c r="NN236" s="48"/>
      <c r="NO236" s="48"/>
      <c r="NP236" s="48"/>
      <c r="NQ236" s="48"/>
      <c r="NR236" s="48"/>
      <c r="NS236" s="48"/>
      <c r="NT236" s="48"/>
      <c r="NU236" s="48"/>
      <c r="NV236" s="48"/>
      <c r="NW236" s="48"/>
      <c r="NX236" s="48"/>
      <c r="NY236" s="48"/>
      <c r="NZ236" s="48"/>
      <c r="OA236" s="48"/>
      <c r="OB236" s="48"/>
      <c r="OC236" s="48"/>
      <c r="OD236" s="48"/>
      <c r="OE236" s="48"/>
      <c r="OF236" s="48"/>
      <c r="OG236" s="48"/>
      <c r="OH236" s="48"/>
      <c r="OI236" s="48"/>
      <c r="OJ236" s="48"/>
      <c r="OK236" s="48"/>
      <c r="OL236" s="48"/>
      <c r="OM236" s="48"/>
      <c r="ON236" s="48"/>
      <c r="OO236" s="48"/>
      <c r="OP236" s="48"/>
      <c r="OQ236" s="48"/>
      <c r="OR236" s="48"/>
      <c r="OS236" s="48"/>
      <c r="OT236" s="48"/>
      <c r="OU236" s="48"/>
      <c r="OV236" s="48"/>
      <c r="OW236" s="48"/>
      <c r="OX236" s="48"/>
      <c r="OY236" s="48"/>
      <c r="OZ236" s="48"/>
      <c r="PA236" s="48"/>
      <c r="PB236" s="48"/>
      <c r="PC236" s="48"/>
      <c r="PD236" s="48"/>
      <c r="PE236" s="48"/>
      <c r="PF236" s="48"/>
      <c r="PG236" s="48"/>
      <c r="PH236" s="48"/>
      <c r="PI236" s="48"/>
      <c r="PJ236" s="48"/>
      <c r="PK236" s="48"/>
      <c r="PL236" s="48"/>
      <c r="PM236" s="48"/>
      <c r="PN236" s="48"/>
      <c r="PO236" s="48"/>
      <c r="PP236" s="48"/>
      <c r="PQ236" s="48"/>
      <c r="PR236" s="48"/>
      <c r="PS236" s="48"/>
      <c r="PT236" s="48"/>
      <c r="PU236" s="48"/>
      <c r="PV236" s="48"/>
      <c r="PW236" s="48"/>
      <c r="PX236" s="48"/>
      <c r="PY236" s="48"/>
      <c r="PZ236" s="48"/>
      <c r="QA236" s="48"/>
      <c r="QB236" s="48"/>
      <c r="QC236" s="48"/>
      <c r="QD236" s="48"/>
      <c r="QE236" s="48"/>
      <c r="QF236" s="48"/>
      <c r="QG236" s="48"/>
      <c r="QH236" s="48"/>
      <c r="QI236" s="48"/>
      <c r="QJ236" s="48"/>
      <c r="QK236" s="48"/>
      <c r="QL236" s="48"/>
      <c r="QM236" s="48"/>
      <c r="QN236" s="48"/>
      <c r="QO236" s="48"/>
      <c r="QP236" s="48"/>
      <c r="QQ236" s="48"/>
      <c r="QR236" s="48"/>
      <c r="QS236" s="48"/>
      <c r="QT236" s="48"/>
      <c r="QU236" s="48"/>
      <c r="QV236" s="48"/>
      <c r="QW236" s="48"/>
      <c r="QX236" s="48"/>
      <c r="QY236" s="48"/>
      <c r="QZ236" s="48"/>
      <c r="RA236" s="48"/>
      <c r="RB236" s="48"/>
      <c r="RC236" s="48"/>
      <c r="RD236" s="48"/>
      <c r="RE236" s="48"/>
      <c r="RF236" s="48"/>
      <c r="RG236" s="48"/>
      <c r="RH236" s="48"/>
      <c r="RI236" s="48"/>
      <c r="RJ236" s="48"/>
      <c r="RK236" s="48"/>
      <c r="RL236" s="48"/>
      <c r="RM236" s="48"/>
      <c r="RN236" s="48"/>
      <c r="RO236" s="48"/>
      <c r="RP236" s="48"/>
      <c r="RQ236" s="48"/>
      <c r="RR236" s="48"/>
      <c r="RS236" s="48"/>
      <c r="RT236" s="48"/>
      <c r="RU236" s="48"/>
      <c r="RV236" s="48"/>
      <c r="RW236" s="48"/>
      <c r="RX236" s="48"/>
      <c r="RY236" s="48"/>
      <c r="RZ236" s="48"/>
      <c r="SA236" s="48"/>
      <c r="SB236" s="48"/>
      <c r="SC236" s="48"/>
      <c r="SD236" s="48"/>
      <c r="SE236" s="48"/>
      <c r="SF236" s="48"/>
      <c r="SG236" s="48"/>
      <c r="SH236" s="48"/>
      <c r="SI236" s="48"/>
      <c r="SJ236" s="48"/>
      <c r="SK236" s="48"/>
      <c r="SL236" s="48"/>
      <c r="SM236" s="48"/>
      <c r="SN236" s="48"/>
      <c r="SO236" s="48"/>
      <c r="SP236" s="48"/>
      <c r="SQ236" s="48"/>
      <c r="SR236" s="48"/>
      <c r="SS236" s="48"/>
      <c r="ST236" s="48"/>
      <c r="SU236" s="48"/>
      <c r="SV236" s="48"/>
      <c r="SW236" s="48"/>
      <c r="SX236" s="48"/>
      <c r="SY236" s="48"/>
      <c r="SZ236" s="48"/>
      <c r="TA236" s="48"/>
      <c r="TB236" s="48"/>
      <c r="TC236" s="48"/>
      <c r="TD236" s="48"/>
      <c r="TE236" s="48"/>
      <c r="TF236" s="48"/>
      <c r="TG236" s="48"/>
      <c r="TH236" s="48"/>
      <c r="TI236" s="48"/>
      <c r="TJ236" s="48"/>
      <c r="TK236" s="48"/>
      <c r="TL236" s="48"/>
      <c r="TM236" s="48"/>
      <c r="TN236" s="48"/>
      <c r="TO236" s="48"/>
      <c r="TP236" s="48"/>
      <c r="TQ236" s="48"/>
      <c r="TR236" s="48"/>
      <c r="TS236" s="48"/>
      <c r="TT236" s="48"/>
      <c r="TU236" s="48"/>
      <c r="TV236" s="48"/>
      <c r="TW236" s="48"/>
      <c r="TX236" s="48"/>
      <c r="TY236" s="48"/>
      <c r="TZ236" s="48"/>
      <c r="UA236" s="48"/>
      <c r="UB236" s="48"/>
      <c r="UC236" s="48"/>
      <c r="UD236" s="48"/>
      <c r="UE236" s="48"/>
      <c r="UF236" s="48"/>
      <c r="UG236" s="48"/>
      <c r="UH236" s="48"/>
      <c r="UI236" s="48"/>
      <c r="UJ236" s="48"/>
      <c r="UK236" s="48"/>
      <c r="UL236" s="48"/>
      <c r="UM236" s="48"/>
      <c r="UN236" s="48"/>
      <c r="UO236" s="48"/>
      <c r="UP236" s="48"/>
      <c r="UQ236" s="48"/>
      <c r="UR236" s="48"/>
      <c r="US236" s="48"/>
      <c r="UT236" s="48"/>
      <c r="UU236" s="48"/>
      <c r="UV236" s="48"/>
      <c r="UW236" s="48"/>
      <c r="UX236" s="48"/>
      <c r="UY236" s="48"/>
      <c r="UZ236" s="48"/>
      <c r="VA236" s="48"/>
      <c r="VB236" s="48"/>
      <c r="VC236" s="48"/>
      <c r="VD236" s="48"/>
      <c r="VE236" s="48"/>
      <c r="VF236" s="48"/>
      <c r="VG236" s="48"/>
      <c r="VH236" s="48"/>
      <c r="VI236" s="48"/>
      <c r="VJ236" s="48"/>
      <c r="VK236" s="48"/>
      <c r="VL236" s="48"/>
      <c r="VM236" s="48"/>
      <c r="VN236" s="48"/>
      <c r="VO236" s="48"/>
      <c r="VP236" s="48"/>
      <c r="VQ236" s="48"/>
      <c r="VR236" s="48"/>
      <c r="VS236" s="48"/>
      <c r="VT236" s="48"/>
      <c r="VU236" s="48"/>
      <c r="VV236" s="48"/>
      <c r="VW236" s="48"/>
      <c r="VX236" s="48"/>
      <c r="VY236" s="48"/>
      <c r="VZ236" s="48"/>
      <c r="WA236" s="48"/>
      <c r="WB236" s="48"/>
      <c r="WC236" s="48"/>
      <c r="WD236" s="48"/>
      <c r="WE236" s="48"/>
      <c r="WF236" s="48"/>
      <c r="WG236" s="48"/>
      <c r="WH236" s="48"/>
      <c r="WI236" s="48"/>
      <c r="WJ236" s="48"/>
      <c r="WK236" s="48"/>
      <c r="WL236" s="48"/>
      <c r="WM236" s="48"/>
      <c r="WN236" s="48"/>
      <c r="WO236" s="48"/>
      <c r="WP236" s="48"/>
      <c r="WQ236" s="48"/>
      <c r="WR236" s="48"/>
      <c r="WS236" s="48"/>
      <c r="WT236" s="48"/>
      <c r="WU236" s="48"/>
      <c r="WV236" s="48"/>
      <c r="WW236" s="48"/>
      <c r="WX236" s="48"/>
      <c r="WY236" s="48"/>
      <c r="WZ236" s="48"/>
      <c r="XA236" s="48"/>
      <c r="XB236" s="48"/>
      <c r="XC236" s="48"/>
      <c r="XD236" s="48"/>
      <c r="XE236" s="48"/>
      <c r="XF236" s="48"/>
      <c r="XG236" s="48"/>
      <c r="XH236" s="48"/>
      <c r="XI236" s="48"/>
      <c r="XJ236" s="48"/>
      <c r="XK236" s="48"/>
      <c r="XL236" s="48"/>
      <c r="XM236" s="48"/>
      <c r="XN236" s="48"/>
      <c r="XO236" s="48"/>
      <c r="XP236" s="48"/>
      <c r="XQ236" s="48"/>
      <c r="XR236" s="48"/>
      <c r="XS236" s="48"/>
      <c r="XT236" s="48"/>
      <c r="XU236" s="48"/>
      <c r="XV236" s="48"/>
      <c r="XW236" s="48"/>
      <c r="XX236" s="48"/>
      <c r="XY236" s="48"/>
      <c r="XZ236" s="48"/>
      <c r="YA236" s="48"/>
      <c r="YB236" s="48"/>
      <c r="YC236" s="48"/>
      <c r="YD236" s="48"/>
      <c r="YE236" s="48"/>
      <c r="YF236" s="48"/>
      <c r="YG236" s="48"/>
      <c r="YH236" s="48"/>
      <c r="YI236" s="48"/>
      <c r="YJ236" s="48"/>
      <c r="YK236" s="48"/>
      <c r="YL236" s="48"/>
      <c r="YM236" s="48"/>
      <c r="YN236" s="48"/>
      <c r="YO236" s="48"/>
      <c r="YP236" s="48"/>
      <c r="YQ236" s="48"/>
      <c r="YR236" s="48"/>
      <c r="YS236" s="48"/>
      <c r="YT236" s="48"/>
      <c r="YU236" s="48"/>
      <c r="YV236" s="48"/>
      <c r="YW236" s="48"/>
      <c r="YX236" s="48"/>
      <c r="YY236" s="48"/>
      <c r="YZ236" s="48"/>
      <c r="ZA236" s="48"/>
      <c r="ZB236" s="48"/>
      <c r="ZC236" s="48"/>
      <c r="ZD236" s="48"/>
      <c r="ZE236" s="48"/>
      <c r="ZF236" s="48"/>
      <c r="ZG236" s="48"/>
      <c r="ZH236" s="48"/>
      <c r="ZI236" s="48"/>
      <c r="ZJ236" s="48"/>
      <c r="ZK236" s="48"/>
      <c r="ZL236" s="48"/>
      <c r="ZM236" s="48"/>
      <c r="ZN236" s="48"/>
      <c r="ZO236" s="48"/>
      <c r="ZP236" s="48"/>
      <c r="ZQ236" s="48"/>
      <c r="ZR236" s="48"/>
      <c r="ZS236" s="48"/>
      <c r="ZT236" s="48"/>
      <c r="ZU236" s="48"/>
      <c r="ZV236" s="48"/>
      <c r="ZW236" s="48"/>
      <c r="ZX236" s="48"/>
      <c r="ZY236" s="48"/>
      <c r="ZZ236" s="48"/>
      <c r="AAA236" s="48"/>
      <c r="AAB236" s="48"/>
      <c r="AAC236" s="48"/>
      <c r="AAD236" s="48"/>
      <c r="AAE236" s="48"/>
      <c r="AAF236" s="48"/>
      <c r="AAG236" s="48"/>
      <c r="AAH236" s="48"/>
      <c r="AAI236" s="48"/>
      <c r="AAJ236" s="48"/>
      <c r="AAK236" s="48"/>
      <c r="AAL236" s="48"/>
      <c r="AAM236" s="48"/>
      <c r="AAN236" s="48"/>
      <c r="AAO236" s="48"/>
      <c r="AAP236" s="48"/>
      <c r="AAQ236" s="48"/>
      <c r="AAR236" s="48"/>
      <c r="AAS236" s="48"/>
      <c r="AAT236" s="48"/>
      <c r="AAU236" s="48"/>
      <c r="AAV236" s="48"/>
      <c r="AAW236" s="48"/>
      <c r="AAX236" s="48"/>
      <c r="AAY236" s="48"/>
      <c r="AAZ236" s="48"/>
      <c r="ABA236" s="48"/>
      <c r="ABB236" s="48"/>
      <c r="ABC236" s="48"/>
      <c r="ABD236" s="48"/>
      <c r="ABE236" s="48"/>
      <c r="ABF236" s="48"/>
      <c r="ABG236" s="48"/>
      <c r="ABH236" s="48"/>
      <c r="ABI236" s="48"/>
      <c r="ABJ236" s="48"/>
      <c r="ABK236" s="48"/>
      <c r="ABL236" s="48"/>
      <c r="ABM236" s="48"/>
      <c r="ABN236" s="48"/>
      <c r="ABO236" s="48"/>
      <c r="ABP236" s="48"/>
      <c r="ABQ236" s="48"/>
      <c r="ABR236" s="48"/>
      <c r="ABS236" s="48"/>
      <c r="ABT236" s="48"/>
      <c r="ABU236" s="48"/>
      <c r="ABV236" s="48"/>
      <c r="ABW236" s="48"/>
      <c r="ABX236" s="48"/>
      <c r="ABY236" s="48"/>
      <c r="ABZ236" s="48"/>
      <c r="ACA236" s="48"/>
      <c r="ACB236" s="48"/>
      <c r="ACC236" s="48"/>
      <c r="ACD236" s="48"/>
      <c r="ACE236" s="48"/>
      <c r="ACF236" s="48"/>
      <c r="ACG236" s="48"/>
      <c r="ACH236" s="48"/>
      <c r="ACI236" s="48"/>
      <c r="ACJ236" s="48"/>
      <c r="ACK236" s="48"/>
      <c r="ACL236" s="48"/>
      <c r="ACM236" s="48"/>
      <c r="ACN236" s="48"/>
      <c r="ACO236" s="48"/>
      <c r="ACP236" s="48"/>
      <c r="ACQ236" s="48"/>
      <c r="ACR236" s="48"/>
      <c r="ACS236" s="48"/>
      <c r="ACT236" s="48"/>
      <c r="ACU236" s="48"/>
      <c r="ACV236" s="48"/>
      <c r="ACW236" s="48"/>
      <c r="ACX236" s="48"/>
      <c r="ACY236" s="48"/>
      <c r="ACZ236" s="48"/>
      <c r="ADA236" s="48"/>
      <c r="ADB236" s="48"/>
      <c r="ADC236" s="48"/>
      <c r="ADD236" s="48"/>
      <c r="ADE236" s="48"/>
      <c r="ADF236" s="48"/>
      <c r="ADG236" s="48"/>
      <c r="ADH236" s="48"/>
      <c r="ADI236" s="48"/>
      <c r="ADJ236" s="48"/>
      <c r="ADK236" s="48"/>
      <c r="ADL236" s="48"/>
      <c r="ADM236" s="48"/>
      <c r="ADN236" s="48"/>
      <c r="ADO236" s="48"/>
      <c r="ADP236" s="48"/>
      <c r="ADQ236" s="48"/>
      <c r="ADR236" s="48"/>
      <c r="ADS236" s="48"/>
      <c r="ADT236" s="48"/>
      <c r="ADU236" s="48"/>
      <c r="ADV236" s="48"/>
      <c r="ADW236" s="48"/>
      <c r="ADX236" s="48"/>
      <c r="ADY236" s="48"/>
      <c r="ADZ236" s="48"/>
      <c r="AEA236" s="48"/>
      <c r="AEB236" s="48"/>
      <c r="AEC236" s="48"/>
      <c r="AED236" s="48"/>
      <c r="AEE236" s="48"/>
      <c r="AEF236" s="48"/>
      <c r="AEG236" s="48"/>
      <c r="AEH236" s="48"/>
      <c r="AEI236" s="48"/>
      <c r="AEJ236" s="48"/>
      <c r="AEK236" s="48"/>
      <c r="AEL236" s="48"/>
      <c r="AEM236" s="48"/>
      <c r="AEN236" s="48"/>
      <c r="AEO236" s="48"/>
      <c r="AEP236" s="48"/>
      <c r="AEQ236" s="48"/>
      <c r="AER236" s="48"/>
      <c r="AES236" s="48"/>
      <c r="AET236" s="48"/>
      <c r="AEU236" s="48"/>
      <c r="AEV236" s="48"/>
      <c r="AEW236" s="48"/>
      <c r="AEX236" s="48"/>
      <c r="AEY236" s="48"/>
      <c r="AEZ236" s="48"/>
      <c r="AFA236" s="48"/>
      <c r="AFB236" s="48"/>
      <c r="AFC236" s="48"/>
      <c r="AFD236" s="48"/>
      <c r="AFE236" s="48"/>
      <c r="AFF236" s="48"/>
      <c r="AFG236" s="48"/>
      <c r="AFH236" s="48"/>
      <c r="AFI236" s="48"/>
      <c r="AFJ236" s="48"/>
      <c r="AFK236" s="48"/>
      <c r="AFL236" s="48"/>
      <c r="AFM236" s="48"/>
      <c r="AFN236" s="48"/>
      <c r="AFO236" s="48"/>
      <c r="AFP236" s="48"/>
      <c r="AFQ236" s="48"/>
      <c r="AFR236" s="48"/>
      <c r="AFS236" s="48"/>
      <c r="AFT236" s="48"/>
      <c r="AFU236" s="48"/>
      <c r="AFV236" s="48"/>
      <c r="AFW236" s="48"/>
      <c r="AFX236" s="48"/>
      <c r="AFY236" s="48"/>
      <c r="AFZ236" s="48"/>
      <c r="AGA236" s="48"/>
      <c r="AGB236" s="48"/>
      <c r="AGC236" s="48"/>
      <c r="AGD236" s="48"/>
      <c r="AGE236" s="48"/>
      <c r="AGF236" s="48"/>
      <c r="AGG236" s="48"/>
      <c r="AGH236" s="48"/>
      <c r="AGI236" s="48"/>
      <c r="AGJ236" s="48"/>
      <c r="AGK236" s="48"/>
      <c r="AGL236" s="48"/>
      <c r="AGM236" s="48"/>
      <c r="AGN236" s="48"/>
      <c r="AGO236" s="48"/>
      <c r="AGP236" s="48"/>
      <c r="AGQ236" s="48"/>
      <c r="AGR236" s="48"/>
      <c r="AGS236" s="48"/>
      <c r="AGT236" s="48"/>
      <c r="AGU236" s="48"/>
      <c r="AGV236" s="48"/>
      <c r="AGW236" s="48"/>
      <c r="AGX236" s="48"/>
      <c r="AGY236" s="48"/>
      <c r="AGZ236" s="48"/>
      <c r="AHA236" s="48"/>
      <c r="AHB236" s="48"/>
      <c r="AHC236" s="48"/>
      <c r="AHD236" s="48"/>
      <c r="AHE236" s="48"/>
      <c r="AHF236" s="48"/>
      <c r="AHG236" s="48"/>
      <c r="AHH236" s="48"/>
      <c r="AHI236" s="48"/>
      <c r="AHJ236" s="48"/>
      <c r="AHK236" s="48"/>
      <c r="AHL236" s="48"/>
      <c r="AHM236" s="48"/>
      <c r="AHN236" s="48"/>
      <c r="AHO236" s="48"/>
      <c r="AHP236" s="48"/>
      <c r="AHQ236" s="48"/>
      <c r="AHR236" s="48"/>
      <c r="AHS236" s="48"/>
      <c r="AHT236" s="48"/>
      <c r="AHU236" s="48"/>
      <c r="AHV236" s="48"/>
      <c r="AHW236" s="48"/>
      <c r="AHX236" s="48"/>
      <c r="AHY236" s="48"/>
      <c r="AHZ236" s="48"/>
      <c r="AIA236" s="48"/>
      <c r="AIB236" s="48"/>
      <c r="AIC236" s="48"/>
      <c r="AID236" s="48"/>
      <c r="AIE236" s="48"/>
      <c r="AIF236" s="48"/>
      <c r="AIG236" s="48"/>
      <c r="AIH236" s="48"/>
      <c r="AII236" s="48"/>
      <c r="AIJ236" s="48"/>
      <c r="AIK236" s="48"/>
      <c r="AIL236" s="48"/>
      <c r="AIM236" s="48"/>
      <c r="AIN236" s="48"/>
      <c r="AIO236" s="48"/>
      <c r="AIP236" s="48"/>
      <c r="AIQ236" s="48"/>
      <c r="AIR236" s="48"/>
      <c r="AIS236" s="48"/>
      <c r="AIT236" s="48"/>
      <c r="AIU236" s="48"/>
      <c r="AIV236" s="48"/>
      <c r="AIW236" s="48"/>
      <c r="AIX236" s="48"/>
      <c r="AIY236" s="48"/>
      <c r="AIZ236" s="48"/>
      <c r="AJA236" s="48"/>
      <c r="AJB236" s="48"/>
      <c r="AJC236" s="48"/>
      <c r="AJD236" s="48"/>
      <c r="AJE236" s="48"/>
      <c r="AJF236" s="48"/>
      <c r="AJG236" s="48"/>
      <c r="AJH236" s="48"/>
      <c r="AJI236" s="48"/>
      <c r="AJJ236" s="48"/>
      <c r="AJK236" s="48"/>
      <c r="AJL236" s="48"/>
      <c r="AJM236" s="48"/>
      <c r="AJN236" s="48"/>
      <c r="AJO236" s="48"/>
      <c r="AJP236" s="48"/>
      <c r="AJQ236" s="48"/>
      <c r="AJR236" s="48"/>
      <c r="AJS236" s="48"/>
      <c r="AJT236" s="48"/>
      <c r="AJU236" s="48"/>
      <c r="AJV236" s="48"/>
      <c r="AJW236" s="48"/>
      <c r="AJX236" s="48"/>
      <c r="AJY236" s="48"/>
      <c r="AJZ236" s="48"/>
      <c r="AKA236" s="48"/>
      <c r="AKB236" s="48"/>
      <c r="AKC236" s="48"/>
      <c r="AKD236" s="48"/>
      <c r="AKE236" s="48"/>
      <c r="AKF236" s="48"/>
      <c r="AKG236" s="48"/>
      <c r="AKH236" s="48"/>
      <c r="AKI236" s="48"/>
      <c r="AKJ236" s="48"/>
      <c r="AKK236" s="48"/>
      <c r="AKL236" s="48"/>
      <c r="AKM236" s="48"/>
      <c r="AKN236" s="48"/>
      <c r="AKO236" s="48"/>
      <c r="AKP236" s="48"/>
      <c r="AKQ236" s="48"/>
      <c r="AKR236" s="48"/>
      <c r="AKS236" s="48"/>
      <c r="AKT236" s="48"/>
      <c r="AKU236" s="48"/>
      <c r="AKV236" s="48"/>
      <c r="AKW236" s="48"/>
      <c r="AKX236" s="48"/>
      <c r="AKY236" s="48"/>
      <c r="AKZ236" s="48"/>
      <c r="ALA236" s="48"/>
      <c r="ALB236" s="48"/>
      <c r="ALC236" s="48"/>
      <c r="ALD236" s="48"/>
      <c r="ALE236" s="48"/>
      <c r="ALF236" s="48"/>
      <c r="ALG236" s="48"/>
      <c r="ALH236" s="48"/>
      <c r="ALI236" s="48"/>
      <c r="ALJ236" s="48"/>
      <c r="ALK236" s="48"/>
      <c r="ALL236" s="48"/>
      <c r="ALM236" s="48"/>
      <c r="ALN236" s="48"/>
      <c r="ALO236" s="48"/>
      <c r="ALP236" s="48"/>
      <c r="ALQ236" s="48"/>
      <c r="ALR236" s="48"/>
      <c r="ALS236" s="48"/>
      <c r="ALT236" s="48"/>
      <c r="ALU236" s="48"/>
      <c r="ALV236" s="48"/>
      <c r="ALW236" s="48"/>
      <c r="ALX236" s="48"/>
      <c r="ALY236" s="48"/>
      <c r="ALZ236" s="48"/>
      <c r="AMA236" s="48"/>
      <c r="AMB236" s="48"/>
      <c r="AMC236" s="48"/>
      <c r="AMD236" s="48"/>
      <c r="AME236" s="48"/>
      <c r="AMF236" s="48"/>
      <c r="AMG236" s="48"/>
      <c r="AMH236" s="48"/>
      <c r="AMI236" s="48"/>
      <c r="AMJ236" s="48"/>
      <c r="AMK236" s="48"/>
    </row>
    <row r="237" spans="1:1025" s="80" customFormat="1" x14ac:dyDescent="0.25">
      <c r="A237" s="140" t="s">
        <v>553</v>
      </c>
      <c r="B237" s="54" t="s">
        <v>138</v>
      </c>
      <c r="C237" s="55">
        <v>15</v>
      </c>
      <c r="D237" s="55">
        <v>3.1</v>
      </c>
      <c r="E237" s="55">
        <v>6.7</v>
      </c>
      <c r="F237" s="55">
        <v>116</v>
      </c>
      <c r="G237" s="55">
        <v>0</v>
      </c>
      <c r="H237" s="55">
        <v>0</v>
      </c>
      <c r="I237" s="55">
        <v>0</v>
      </c>
      <c r="J237" s="55">
        <v>0</v>
      </c>
      <c r="K237" s="120" t="s">
        <v>302</v>
      </c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  <c r="BH237" s="48"/>
      <c r="BI237" s="48"/>
      <c r="BJ237" s="48"/>
      <c r="BK237" s="48"/>
      <c r="BL237" s="48"/>
      <c r="BM237" s="48"/>
      <c r="BN237" s="48"/>
      <c r="BO237" s="48"/>
      <c r="BP237" s="48"/>
      <c r="BQ237" s="48"/>
      <c r="BR237" s="48"/>
      <c r="BS237" s="48"/>
      <c r="BT237" s="48"/>
      <c r="BU237" s="48"/>
      <c r="BV237" s="48"/>
      <c r="BW237" s="48"/>
      <c r="BX237" s="48"/>
      <c r="BY237" s="48"/>
      <c r="BZ237" s="48"/>
      <c r="CA237" s="48"/>
      <c r="CB237" s="48"/>
      <c r="CC237" s="48"/>
      <c r="CD237" s="48"/>
      <c r="CE237" s="48"/>
      <c r="CF237" s="48"/>
      <c r="CG237" s="48"/>
      <c r="CH237" s="48"/>
      <c r="CI237" s="48"/>
      <c r="CJ237" s="48"/>
      <c r="CK237" s="48"/>
      <c r="CL237" s="48"/>
      <c r="CM237" s="48"/>
      <c r="CN237" s="48"/>
      <c r="CO237" s="48"/>
      <c r="CP237" s="48"/>
      <c r="CQ237" s="48"/>
      <c r="CR237" s="48"/>
      <c r="CS237" s="48"/>
      <c r="CT237" s="48"/>
      <c r="CU237" s="48"/>
      <c r="CV237" s="48"/>
      <c r="CW237" s="48"/>
      <c r="CX237" s="48"/>
      <c r="CY237" s="48"/>
      <c r="CZ237" s="48"/>
      <c r="DA237" s="48"/>
      <c r="DB237" s="48"/>
      <c r="DC237" s="48"/>
      <c r="DD237" s="48"/>
      <c r="DE237" s="48"/>
      <c r="DF237" s="48"/>
      <c r="DG237" s="48"/>
      <c r="DH237" s="48"/>
      <c r="DI237" s="48"/>
      <c r="DJ237" s="48"/>
      <c r="DK237" s="48"/>
      <c r="DL237" s="48"/>
      <c r="DM237" s="48"/>
      <c r="DN237" s="48"/>
      <c r="DO237" s="48"/>
      <c r="DP237" s="48"/>
      <c r="DQ237" s="48"/>
      <c r="DR237" s="48"/>
      <c r="DS237" s="48"/>
      <c r="DT237" s="48"/>
      <c r="DU237" s="48"/>
      <c r="DV237" s="48"/>
      <c r="DW237" s="48"/>
      <c r="DX237" s="48"/>
      <c r="DY237" s="48"/>
      <c r="DZ237" s="48"/>
      <c r="EA237" s="48"/>
      <c r="EB237" s="48"/>
      <c r="EC237" s="48"/>
      <c r="ED237" s="48"/>
      <c r="EE237" s="48"/>
      <c r="EF237" s="48"/>
      <c r="EG237" s="48"/>
      <c r="EH237" s="48"/>
      <c r="EI237" s="48"/>
      <c r="EJ237" s="48"/>
      <c r="EK237" s="48"/>
      <c r="EL237" s="48"/>
      <c r="EM237" s="48"/>
      <c r="EN237" s="48"/>
      <c r="EO237" s="48"/>
      <c r="EP237" s="48"/>
      <c r="EQ237" s="48"/>
      <c r="ER237" s="48"/>
      <c r="ES237" s="48"/>
      <c r="ET237" s="48"/>
      <c r="EU237" s="48"/>
      <c r="EV237" s="48"/>
      <c r="EW237" s="48"/>
      <c r="EX237" s="48"/>
      <c r="EY237" s="48"/>
      <c r="EZ237" s="48"/>
      <c r="FA237" s="48"/>
      <c r="FB237" s="48"/>
      <c r="FC237" s="48"/>
      <c r="FD237" s="48"/>
      <c r="FE237" s="48"/>
      <c r="FF237" s="48"/>
      <c r="FG237" s="48"/>
      <c r="FH237" s="48"/>
      <c r="FI237" s="48"/>
      <c r="FJ237" s="48"/>
      <c r="FK237" s="48"/>
      <c r="FL237" s="48"/>
      <c r="FM237" s="48"/>
      <c r="FN237" s="48"/>
      <c r="FO237" s="48"/>
      <c r="FP237" s="48"/>
      <c r="FQ237" s="48"/>
      <c r="FR237" s="48"/>
      <c r="FS237" s="48"/>
      <c r="FT237" s="48"/>
      <c r="FU237" s="48"/>
      <c r="FV237" s="48"/>
      <c r="FW237" s="48"/>
      <c r="FX237" s="48"/>
      <c r="FY237" s="48"/>
      <c r="FZ237" s="48"/>
      <c r="GA237" s="48"/>
      <c r="GB237" s="48"/>
      <c r="GC237" s="48"/>
      <c r="GD237" s="48"/>
      <c r="GE237" s="48"/>
      <c r="GF237" s="48"/>
      <c r="GG237" s="48"/>
      <c r="GH237" s="48"/>
      <c r="GI237" s="48"/>
      <c r="GJ237" s="48"/>
      <c r="GK237" s="48"/>
      <c r="GL237" s="48"/>
      <c r="GM237" s="48"/>
      <c r="GN237" s="48"/>
      <c r="GO237" s="48"/>
      <c r="GP237" s="48"/>
      <c r="GQ237" s="48"/>
      <c r="GR237" s="48"/>
      <c r="GS237" s="48"/>
      <c r="GT237" s="48"/>
      <c r="GU237" s="48"/>
      <c r="GV237" s="48"/>
      <c r="GW237" s="48"/>
      <c r="GX237" s="48"/>
      <c r="GY237" s="48"/>
      <c r="GZ237" s="48"/>
      <c r="HA237" s="48"/>
      <c r="HB237" s="48"/>
      <c r="HC237" s="48"/>
      <c r="HD237" s="48"/>
      <c r="HE237" s="48"/>
      <c r="HF237" s="48"/>
      <c r="HG237" s="48"/>
      <c r="HH237" s="48"/>
      <c r="HI237" s="48"/>
      <c r="HJ237" s="48"/>
      <c r="HK237" s="48"/>
      <c r="HL237" s="48"/>
      <c r="HM237" s="48"/>
      <c r="HN237" s="48"/>
      <c r="HO237" s="48"/>
      <c r="HP237" s="48"/>
      <c r="HQ237" s="48"/>
      <c r="HR237" s="48"/>
      <c r="HS237" s="48"/>
      <c r="HT237" s="48"/>
      <c r="HU237" s="48"/>
      <c r="HV237" s="48"/>
      <c r="HW237" s="48"/>
      <c r="HX237" s="48"/>
      <c r="HY237" s="48"/>
      <c r="HZ237" s="48"/>
      <c r="IA237" s="48"/>
      <c r="IB237" s="48"/>
      <c r="IC237" s="48"/>
      <c r="ID237" s="48"/>
      <c r="IE237" s="48"/>
      <c r="IF237" s="48"/>
      <c r="IG237" s="48"/>
      <c r="IH237" s="48"/>
      <c r="II237" s="48"/>
      <c r="IJ237" s="48"/>
      <c r="IK237" s="48"/>
      <c r="IL237" s="48"/>
      <c r="IM237" s="48"/>
      <c r="IN237" s="48"/>
      <c r="IO237" s="48"/>
      <c r="IP237" s="48"/>
      <c r="IQ237" s="48"/>
      <c r="IR237" s="48"/>
      <c r="IS237" s="48"/>
      <c r="IT237" s="48"/>
      <c r="IU237" s="48"/>
      <c r="IV237" s="48"/>
      <c r="IW237" s="48"/>
      <c r="IX237" s="48"/>
      <c r="IY237" s="48"/>
      <c r="IZ237" s="48"/>
      <c r="JA237" s="48"/>
      <c r="JB237" s="48"/>
      <c r="JC237" s="48"/>
      <c r="JD237" s="48"/>
      <c r="JE237" s="48"/>
      <c r="JF237" s="48"/>
      <c r="JG237" s="48"/>
      <c r="JH237" s="48"/>
      <c r="JI237" s="48"/>
      <c r="JJ237" s="48"/>
      <c r="JK237" s="48"/>
      <c r="JL237" s="48"/>
      <c r="JM237" s="48"/>
      <c r="JN237" s="48"/>
      <c r="JO237" s="48"/>
      <c r="JP237" s="48"/>
      <c r="JQ237" s="48"/>
      <c r="JR237" s="48"/>
      <c r="JS237" s="48"/>
      <c r="JT237" s="48"/>
      <c r="JU237" s="48"/>
      <c r="JV237" s="48"/>
      <c r="JW237" s="48"/>
      <c r="JX237" s="48"/>
      <c r="JY237" s="48"/>
      <c r="JZ237" s="48"/>
      <c r="KA237" s="48"/>
      <c r="KB237" s="48"/>
      <c r="KC237" s="48"/>
      <c r="KD237" s="48"/>
      <c r="KE237" s="48"/>
      <c r="KF237" s="48"/>
      <c r="KG237" s="48"/>
      <c r="KH237" s="48"/>
      <c r="KI237" s="48"/>
      <c r="KJ237" s="48"/>
      <c r="KK237" s="48"/>
      <c r="KL237" s="48"/>
      <c r="KM237" s="48"/>
      <c r="KN237" s="48"/>
      <c r="KO237" s="48"/>
      <c r="KP237" s="48"/>
      <c r="KQ237" s="48"/>
      <c r="KR237" s="48"/>
      <c r="KS237" s="48"/>
      <c r="KT237" s="48"/>
      <c r="KU237" s="48"/>
      <c r="KV237" s="48"/>
      <c r="KW237" s="48"/>
      <c r="KX237" s="48"/>
      <c r="KY237" s="48"/>
      <c r="KZ237" s="48"/>
      <c r="LA237" s="48"/>
      <c r="LB237" s="48"/>
      <c r="LC237" s="48"/>
      <c r="LD237" s="48"/>
      <c r="LE237" s="48"/>
      <c r="LF237" s="48"/>
      <c r="LG237" s="48"/>
      <c r="LH237" s="48"/>
      <c r="LI237" s="48"/>
      <c r="LJ237" s="48"/>
      <c r="LK237" s="48"/>
      <c r="LL237" s="48"/>
      <c r="LM237" s="48"/>
      <c r="LN237" s="48"/>
      <c r="LO237" s="48"/>
      <c r="LP237" s="48"/>
      <c r="LQ237" s="48"/>
      <c r="LR237" s="48"/>
      <c r="LS237" s="48"/>
      <c r="LT237" s="48"/>
      <c r="LU237" s="48"/>
      <c r="LV237" s="48"/>
      <c r="LW237" s="48"/>
      <c r="LX237" s="48"/>
      <c r="LY237" s="48"/>
      <c r="LZ237" s="48"/>
      <c r="MA237" s="48"/>
      <c r="MB237" s="48"/>
      <c r="MC237" s="48"/>
      <c r="MD237" s="48"/>
      <c r="ME237" s="48"/>
      <c r="MF237" s="48"/>
      <c r="MG237" s="48"/>
      <c r="MH237" s="48"/>
      <c r="MI237" s="48"/>
      <c r="MJ237" s="48"/>
      <c r="MK237" s="48"/>
      <c r="ML237" s="48"/>
      <c r="MM237" s="48"/>
      <c r="MN237" s="48"/>
      <c r="MO237" s="48"/>
      <c r="MP237" s="48"/>
      <c r="MQ237" s="48"/>
      <c r="MR237" s="48"/>
      <c r="MS237" s="48"/>
      <c r="MT237" s="48"/>
      <c r="MU237" s="48"/>
      <c r="MV237" s="48"/>
      <c r="MW237" s="48"/>
      <c r="MX237" s="48"/>
      <c r="MY237" s="48"/>
      <c r="MZ237" s="48"/>
      <c r="NA237" s="48"/>
      <c r="NB237" s="48"/>
      <c r="NC237" s="48"/>
      <c r="ND237" s="48"/>
      <c r="NE237" s="48"/>
      <c r="NF237" s="48"/>
      <c r="NG237" s="48"/>
      <c r="NH237" s="48"/>
      <c r="NI237" s="48"/>
      <c r="NJ237" s="48"/>
      <c r="NK237" s="48"/>
      <c r="NL237" s="48"/>
      <c r="NM237" s="48"/>
      <c r="NN237" s="48"/>
      <c r="NO237" s="48"/>
      <c r="NP237" s="48"/>
      <c r="NQ237" s="48"/>
      <c r="NR237" s="48"/>
      <c r="NS237" s="48"/>
      <c r="NT237" s="48"/>
      <c r="NU237" s="48"/>
      <c r="NV237" s="48"/>
      <c r="NW237" s="48"/>
      <c r="NX237" s="48"/>
      <c r="NY237" s="48"/>
      <c r="NZ237" s="48"/>
      <c r="OA237" s="48"/>
      <c r="OB237" s="48"/>
      <c r="OC237" s="48"/>
      <c r="OD237" s="48"/>
      <c r="OE237" s="48"/>
      <c r="OF237" s="48"/>
      <c r="OG237" s="48"/>
      <c r="OH237" s="48"/>
      <c r="OI237" s="48"/>
      <c r="OJ237" s="48"/>
      <c r="OK237" s="48"/>
      <c r="OL237" s="48"/>
      <c r="OM237" s="48"/>
      <c r="ON237" s="48"/>
      <c r="OO237" s="48"/>
      <c r="OP237" s="48"/>
      <c r="OQ237" s="48"/>
      <c r="OR237" s="48"/>
      <c r="OS237" s="48"/>
      <c r="OT237" s="48"/>
      <c r="OU237" s="48"/>
      <c r="OV237" s="48"/>
      <c r="OW237" s="48"/>
      <c r="OX237" s="48"/>
      <c r="OY237" s="48"/>
      <c r="OZ237" s="48"/>
      <c r="PA237" s="48"/>
      <c r="PB237" s="48"/>
      <c r="PC237" s="48"/>
      <c r="PD237" s="48"/>
      <c r="PE237" s="48"/>
      <c r="PF237" s="48"/>
      <c r="PG237" s="48"/>
      <c r="PH237" s="48"/>
      <c r="PI237" s="48"/>
      <c r="PJ237" s="48"/>
      <c r="PK237" s="48"/>
      <c r="PL237" s="48"/>
      <c r="PM237" s="48"/>
      <c r="PN237" s="48"/>
      <c r="PO237" s="48"/>
      <c r="PP237" s="48"/>
      <c r="PQ237" s="48"/>
      <c r="PR237" s="48"/>
      <c r="PS237" s="48"/>
      <c r="PT237" s="48"/>
      <c r="PU237" s="48"/>
      <c r="PV237" s="48"/>
      <c r="PW237" s="48"/>
      <c r="PX237" s="48"/>
      <c r="PY237" s="48"/>
      <c r="PZ237" s="48"/>
      <c r="QA237" s="48"/>
      <c r="QB237" s="48"/>
      <c r="QC237" s="48"/>
      <c r="QD237" s="48"/>
      <c r="QE237" s="48"/>
      <c r="QF237" s="48"/>
      <c r="QG237" s="48"/>
      <c r="QH237" s="48"/>
      <c r="QI237" s="48"/>
      <c r="QJ237" s="48"/>
      <c r="QK237" s="48"/>
      <c r="QL237" s="48"/>
      <c r="QM237" s="48"/>
      <c r="QN237" s="48"/>
      <c r="QO237" s="48"/>
      <c r="QP237" s="48"/>
      <c r="QQ237" s="48"/>
      <c r="QR237" s="48"/>
      <c r="QS237" s="48"/>
      <c r="QT237" s="48"/>
      <c r="QU237" s="48"/>
      <c r="QV237" s="48"/>
      <c r="QW237" s="48"/>
      <c r="QX237" s="48"/>
      <c r="QY237" s="48"/>
      <c r="QZ237" s="48"/>
      <c r="RA237" s="48"/>
      <c r="RB237" s="48"/>
      <c r="RC237" s="48"/>
      <c r="RD237" s="48"/>
      <c r="RE237" s="48"/>
      <c r="RF237" s="48"/>
      <c r="RG237" s="48"/>
      <c r="RH237" s="48"/>
      <c r="RI237" s="48"/>
      <c r="RJ237" s="48"/>
      <c r="RK237" s="48"/>
      <c r="RL237" s="48"/>
      <c r="RM237" s="48"/>
      <c r="RN237" s="48"/>
      <c r="RO237" s="48"/>
      <c r="RP237" s="48"/>
      <c r="RQ237" s="48"/>
      <c r="RR237" s="48"/>
      <c r="RS237" s="48"/>
      <c r="RT237" s="48"/>
      <c r="RU237" s="48"/>
      <c r="RV237" s="48"/>
      <c r="RW237" s="48"/>
      <c r="RX237" s="48"/>
      <c r="RY237" s="48"/>
      <c r="RZ237" s="48"/>
      <c r="SA237" s="48"/>
      <c r="SB237" s="48"/>
      <c r="SC237" s="48"/>
      <c r="SD237" s="48"/>
      <c r="SE237" s="48"/>
      <c r="SF237" s="48"/>
      <c r="SG237" s="48"/>
      <c r="SH237" s="48"/>
      <c r="SI237" s="48"/>
      <c r="SJ237" s="48"/>
      <c r="SK237" s="48"/>
      <c r="SL237" s="48"/>
      <c r="SM237" s="48"/>
      <c r="SN237" s="48"/>
      <c r="SO237" s="48"/>
      <c r="SP237" s="48"/>
      <c r="SQ237" s="48"/>
      <c r="SR237" s="48"/>
      <c r="SS237" s="48"/>
      <c r="ST237" s="48"/>
      <c r="SU237" s="48"/>
      <c r="SV237" s="48"/>
      <c r="SW237" s="48"/>
      <c r="SX237" s="48"/>
      <c r="SY237" s="48"/>
      <c r="SZ237" s="48"/>
      <c r="TA237" s="48"/>
      <c r="TB237" s="48"/>
      <c r="TC237" s="48"/>
      <c r="TD237" s="48"/>
      <c r="TE237" s="48"/>
      <c r="TF237" s="48"/>
      <c r="TG237" s="48"/>
      <c r="TH237" s="48"/>
      <c r="TI237" s="48"/>
      <c r="TJ237" s="48"/>
      <c r="TK237" s="48"/>
      <c r="TL237" s="48"/>
      <c r="TM237" s="48"/>
      <c r="TN237" s="48"/>
      <c r="TO237" s="48"/>
      <c r="TP237" s="48"/>
      <c r="TQ237" s="48"/>
      <c r="TR237" s="48"/>
      <c r="TS237" s="48"/>
      <c r="TT237" s="48"/>
      <c r="TU237" s="48"/>
      <c r="TV237" s="48"/>
      <c r="TW237" s="48"/>
      <c r="TX237" s="48"/>
      <c r="TY237" s="48"/>
      <c r="TZ237" s="48"/>
      <c r="UA237" s="48"/>
      <c r="UB237" s="48"/>
      <c r="UC237" s="48"/>
      <c r="UD237" s="48"/>
      <c r="UE237" s="48"/>
      <c r="UF237" s="48"/>
      <c r="UG237" s="48"/>
      <c r="UH237" s="48"/>
      <c r="UI237" s="48"/>
      <c r="UJ237" s="48"/>
      <c r="UK237" s="48"/>
      <c r="UL237" s="48"/>
      <c r="UM237" s="48"/>
      <c r="UN237" s="48"/>
      <c r="UO237" s="48"/>
      <c r="UP237" s="48"/>
      <c r="UQ237" s="48"/>
      <c r="UR237" s="48"/>
      <c r="US237" s="48"/>
      <c r="UT237" s="48"/>
      <c r="UU237" s="48"/>
      <c r="UV237" s="48"/>
      <c r="UW237" s="48"/>
      <c r="UX237" s="48"/>
      <c r="UY237" s="48"/>
      <c r="UZ237" s="48"/>
      <c r="VA237" s="48"/>
      <c r="VB237" s="48"/>
      <c r="VC237" s="48"/>
      <c r="VD237" s="48"/>
      <c r="VE237" s="48"/>
      <c r="VF237" s="48"/>
      <c r="VG237" s="48"/>
      <c r="VH237" s="48"/>
      <c r="VI237" s="48"/>
      <c r="VJ237" s="48"/>
      <c r="VK237" s="48"/>
      <c r="VL237" s="48"/>
      <c r="VM237" s="48"/>
      <c r="VN237" s="48"/>
      <c r="VO237" s="48"/>
      <c r="VP237" s="48"/>
      <c r="VQ237" s="48"/>
      <c r="VR237" s="48"/>
      <c r="VS237" s="48"/>
      <c r="VT237" s="48"/>
      <c r="VU237" s="48"/>
      <c r="VV237" s="48"/>
      <c r="VW237" s="48"/>
      <c r="VX237" s="48"/>
      <c r="VY237" s="48"/>
      <c r="VZ237" s="48"/>
      <c r="WA237" s="48"/>
      <c r="WB237" s="48"/>
      <c r="WC237" s="48"/>
      <c r="WD237" s="48"/>
      <c r="WE237" s="48"/>
      <c r="WF237" s="48"/>
      <c r="WG237" s="48"/>
      <c r="WH237" s="48"/>
      <c r="WI237" s="48"/>
      <c r="WJ237" s="48"/>
      <c r="WK237" s="48"/>
      <c r="WL237" s="48"/>
      <c r="WM237" s="48"/>
      <c r="WN237" s="48"/>
      <c r="WO237" s="48"/>
      <c r="WP237" s="48"/>
      <c r="WQ237" s="48"/>
      <c r="WR237" s="48"/>
      <c r="WS237" s="48"/>
      <c r="WT237" s="48"/>
      <c r="WU237" s="48"/>
      <c r="WV237" s="48"/>
      <c r="WW237" s="48"/>
      <c r="WX237" s="48"/>
      <c r="WY237" s="48"/>
      <c r="WZ237" s="48"/>
      <c r="XA237" s="48"/>
      <c r="XB237" s="48"/>
      <c r="XC237" s="48"/>
      <c r="XD237" s="48"/>
      <c r="XE237" s="48"/>
      <c r="XF237" s="48"/>
      <c r="XG237" s="48"/>
      <c r="XH237" s="48"/>
      <c r="XI237" s="48"/>
      <c r="XJ237" s="48"/>
      <c r="XK237" s="48"/>
      <c r="XL237" s="48"/>
      <c r="XM237" s="48"/>
      <c r="XN237" s="48"/>
      <c r="XO237" s="48"/>
      <c r="XP237" s="48"/>
      <c r="XQ237" s="48"/>
      <c r="XR237" s="48"/>
      <c r="XS237" s="48"/>
      <c r="XT237" s="48"/>
      <c r="XU237" s="48"/>
      <c r="XV237" s="48"/>
      <c r="XW237" s="48"/>
      <c r="XX237" s="48"/>
      <c r="XY237" s="48"/>
      <c r="XZ237" s="48"/>
      <c r="YA237" s="48"/>
      <c r="YB237" s="48"/>
      <c r="YC237" s="48"/>
      <c r="YD237" s="48"/>
      <c r="YE237" s="48"/>
      <c r="YF237" s="48"/>
      <c r="YG237" s="48"/>
      <c r="YH237" s="48"/>
      <c r="YI237" s="48"/>
      <c r="YJ237" s="48"/>
      <c r="YK237" s="48"/>
      <c r="YL237" s="48"/>
      <c r="YM237" s="48"/>
      <c r="YN237" s="48"/>
      <c r="YO237" s="48"/>
      <c r="YP237" s="48"/>
      <c r="YQ237" s="48"/>
      <c r="YR237" s="48"/>
      <c r="YS237" s="48"/>
      <c r="YT237" s="48"/>
      <c r="YU237" s="48"/>
      <c r="YV237" s="48"/>
      <c r="YW237" s="48"/>
      <c r="YX237" s="48"/>
      <c r="YY237" s="48"/>
      <c r="YZ237" s="48"/>
      <c r="ZA237" s="48"/>
      <c r="ZB237" s="48"/>
      <c r="ZC237" s="48"/>
      <c r="ZD237" s="48"/>
      <c r="ZE237" s="48"/>
      <c r="ZF237" s="48"/>
      <c r="ZG237" s="48"/>
      <c r="ZH237" s="48"/>
      <c r="ZI237" s="48"/>
      <c r="ZJ237" s="48"/>
      <c r="ZK237" s="48"/>
      <c r="ZL237" s="48"/>
      <c r="ZM237" s="48"/>
      <c r="ZN237" s="48"/>
      <c r="ZO237" s="48"/>
      <c r="ZP237" s="48"/>
      <c r="ZQ237" s="48"/>
      <c r="ZR237" s="48"/>
      <c r="ZS237" s="48"/>
      <c r="ZT237" s="48"/>
      <c r="ZU237" s="48"/>
      <c r="ZV237" s="48"/>
      <c r="ZW237" s="48"/>
      <c r="ZX237" s="48"/>
      <c r="ZY237" s="48"/>
      <c r="ZZ237" s="48"/>
      <c r="AAA237" s="48"/>
      <c r="AAB237" s="48"/>
      <c r="AAC237" s="48"/>
      <c r="AAD237" s="48"/>
      <c r="AAE237" s="48"/>
      <c r="AAF237" s="48"/>
      <c r="AAG237" s="48"/>
      <c r="AAH237" s="48"/>
      <c r="AAI237" s="48"/>
      <c r="AAJ237" s="48"/>
      <c r="AAK237" s="48"/>
      <c r="AAL237" s="48"/>
      <c r="AAM237" s="48"/>
      <c r="AAN237" s="48"/>
      <c r="AAO237" s="48"/>
      <c r="AAP237" s="48"/>
      <c r="AAQ237" s="48"/>
      <c r="AAR237" s="48"/>
      <c r="AAS237" s="48"/>
      <c r="AAT237" s="48"/>
      <c r="AAU237" s="48"/>
      <c r="AAV237" s="48"/>
      <c r="AAW237" s="48"/>
      <c r="AAX237" s="48"/>
      <c r="AAY237" s="48"/>
      <c r="AAZ237" s="48"/>
      <c r="ABA237" s="48"/>
      <c r="ABB237" s="48"/>
      <c r="ABC237" s="48"/>
      <c r="ABD237" s="48"/>
      <c r="ABE237" s="48"/>
      <c r="ABF237" s="48"/>
      <c r="ABG237" s="48"/>
      <c r="ABH237" s="48"/>
      <c r="ABI237" s="48"/>
      <c r="ABJ237" s="48"/>
      <c r="ABK237" s="48"/>
      <c r="ABL237" s="48"/>
      <c r="ABM237" s="48"/>
      <c r="ABN237" s="48"/>
      <c r="ABO237" s="48"/>
      <c r="ABP237" s="48"/>
      <c r="ABQ237" s="48"/>
      <c r="ABR237" s="48"/>
      <c r="ABS237" s="48"/>
      <c r="ABT237" s="48"/>
      <c r="ABU237" s="48"/>
      <c r="ABV237" s="48"/>
      <c r="ABW237" s="48"/>
      <c r="ABX237" s="48"/>
      <c r="ABY237" s="48"/>
      <c r="ABZ237" s="48"/>
      <c r="ACA237" s="48"/>
      <c r="ACB237" s="48"/>
      <c r="ACC237" s="48"/>
      <c r="ACD237" s="48"/>
      <c r="ACE237" s="48"/>
      <c r="ACF237" s="48"/>
      <c r="ACG237" s="48"/>
      <c r="ACH237" s="48"/>
      <c r="ACI237" s="48"/>
      <c r="ACJ237" s="48"/>
      <c r="ACK237" s="48"/>
      <c r="ACL237" s="48"/>
      <c r="ACM237" s="48"/>
      <c r="ACN237" s="48"/>
      <c r="ACO237" s="48"/>
      <c r="ACP237" s="48"/>
      <c r="ACQ237" s="48"/>
      <c r="ACR237" s="48"/>
      <c r="ACS237" s="48"/>
      <c r="ACT237" s="48"/>
      <c r="ACU237" s="48"/>
      <c r="ACV237" s="48"/>
      <c r="ACW237" s="48"/>
      <c r="ACX237" s="48"/>
      <c r="ACY237" s="48"/>
      <c r="ACZ237" s="48"/>
      <c r="ADA237" s="48"/>
      <c r="ADB237" s="48"/>
      <c r="ADC237" s="48"/>
      <c r="ADD237" s="48"/>
      <c r="ADE237" s="48"/>
      <c r="ADF237" s="48"/>
      <c r="ADG237" s="48"/>
      <c r="ADH237" s="48"/>
      <c r="ADI237" s="48"/>
      <c r="ADJ237" s="48"/>
      <c r="ADK237" s="48"/>
      <c r="ADL237" s="48"/>
      <c r="ADM237" s="48"/>
      <c r="ADN237" s="48"/>
      <c r="ADO237" s="48"/>
      <c r="ADP237" s="48"/>
      <c r="ADQ237" s="48"/>
      <c r="ADR237" s="48"/>
      <c r="ADS237" s="48"/>
      <c r="ADT237" s="48"/>
      <c r="ADU237" s="48"/>
      <c r="ADV237" s="48"/>
      <c r="ADW237" s="48"/>
      <c r="ADX237" s="48"/>
      <c r="ADY237" s="48"/>
      <c r="ADZ237" s="48"/>
      <c r="AEA237" s="48"/>
      <c r="AEB237" s="48"/>
      <c r="AEC237" s="48"/>
      <c r="AED237" s="48"/>
      <c r="AEE237" s="48"/>
      <c r="AEF237" s="48"/>
      <c r="AEG237" s="48"/>
      <c r="AEH237" s="48"/>
      <c r="AEI237" s="48"/>
      <c r="AEJ237" s="48"/>
      <c r="AEK237" s="48"/>
      <c r="AEL237" s="48"/>
      <c r="AEM237" s="48"/>
      <c r="AEN237" s="48"/>
      <c r="AEO237" s="48"/>
      <c r="AEP237" s="48"/>
      <c r="AEQ237" s="48"/>
      <c r="AER237" s="48"/>
      <c r="AES237" s="48"/>
      <c r="AET237" s="48"/>
      <c r="AEU237" s="48"/>
      <c r="AEV237" s="48"/>
      <c r="AEW237" s="48"/>
      <c r="AEX237" s="48"/>
      <c r="AEY237" s="48"/>
      <c r="AEZ237" s="48"/>
      <c r="AFA237" s="48"/>
      <c r="AFB237" s="48"/>
      <c r="AFC237" s="48"/>
      <c r="AFD237" s="48"/>
      <c r="AFE237" s="48"/>
      <c r="AFF237" s="48"/>
      <c r="AFG237" s="48"/>
      <c r="AFH237" s="48"/>
      <c r="AFI237" s="48"/>
      <c r="AFJ237" s="48"/>
      <c r="AFK237" s="48"/>
      <c r="AFL237" s="48"/>
      <c r="AFM237" s="48"/>
      <c r="AFN237" s="48"/>
      <c r="AFO237" s="48"/>
      <c r="AFP237" s="48"/>
      <c r="AFQ237" s="48"/>
      <c r="AFR237" s="48"/>
      <c r="AFS237" s="48"/>
      <c r="AFT237" s="48"/>
      <c r="AFU237" s="48"/>
      <c r="AFV237" s="48"/>
      <c r="AFW237" s="48"/>
      <c r="AFX237" s="48"/>
      <c r="AFY237" s="48"/>
      <c r="AFZ237" s="48"/>
      <c r="AGA237" s="48"/>
      <c r="AGB237" s="48"/>
      <c r="AGC237" s="48"/>
      <c r="AGD237" s="48"/>
      <c r="AGE237" s="48"/>
      <c r="AGF237" s="48"/>
      <c r="AGG237" s="48"/>
      <c r="AGH237" s="48"/>
      <c r="AGI237" s="48"/>
      <c r="AGJ237" s="48"/>
      <c r="AGK237" s="48"/>
      <c r="AGL237" s="48"/>
      <c r="AGM237" s="48"/>
      <c r="AGN237" s="48"/>
      <c r="AGO237" s="48"/>
      <c r="AGP237" s="48"/>
      <c r="AGQ237" s="48"/>
      <c r="AGR237" s="48"/>
      <c r="AGS237" s="48"/>
      <c r="AGT237" s="48"/>
      <c r="AGU237" s="48"/>
      <c r="AGV237" s="48"/>
      <c r="AGW237" s="48"/>
      <c r="AGX237" s="48"/>
      <c r="AGY237" s="48"/>
      <c r="AGZ237" s="48"/>
      <c r="AHA237" s="48"/>
      <c r="AHB237" s="48"/>
      <c r="AHC237" s="48"/>
      <c r="AHD237" s="48"/>
      <c r="AHE237" s="48"/>
      <c r="AHF237" s="48"/>
      <c r="AHG237" s="48"/>
      <c r="AHH237" s="48"/>
      <c r="AHI237" s="48"/>
      <c r="AHJ237" s="48"/>
      <c r="AHK237" s="48"/>
      <c r="AHL237" s="48"/>
      <c r="AHM237" s="48"/>
      <c r="AHN237" s="48"/>
      <c r="AHO237" s="48"/>
      <c r="AHP237" s="48"/>
      <c r="AHQ237" s="48"/>
      <c r="AHR237" s="48"/>
      <c r="AHS237" s="48"/>
      <c r="AHT237" s="48"/>
      <c r="AHU237" s="48"/>
      <c r="AHV237" s="48"/>
      <c r="AHW237" s="48"/>
      <c r="AHX237" s="48"/>
      <c r="AHY237" s="48"/>
      <c r="AHZ237" s="48"/>
      <c r="AIA237" s="48"/>
      <c r="AIB237" s="48"/>
      <c r="AIC237" s="48"/>
      <c r="AID237" s="48"/>
      <c r="AIE237" s="48"/>
      <c r="AIF237" s="48"/>
      <c r="AIG237" s="48"/>
      <c r="AIH237" s="48"/>
      <c r="AII237" s="48"/>
      <c r="AIJ237" s="48"/>
      <c r="AIK237" s="48"/>
      <c r="AIL237" s="48"/>
      <c r="AIM237" s="48"/>
      <c r="AIN237" s="48"/>
      <c r="AIO237" s="48"/>
      <c r="AIP237" s="48"/>
      <c r="AIQ237" s="48"/>
      <c r="AIR237" s="48"/>
      <c r="AIS237" s="48"/>
      <c r="AIT237" s="48"/>
      <c r="AIU237" s="48"/>
      <c r="AIV237" s="48"/>
      <c r="AIW237" s="48"/>
      <c r="AIX237" s="48"/>
      <c r="AIY237" s="48"/>
      <c r="AIZ237" s="48"/>
      <c r="AJA237" s="48"/>
      <c r="AJB237" s="48"/>
      <c r="AJC237" s="48"/>
      <c r="AJD237" s="48"/>
      <c r="AJE237" s="48"/>
      <c r="AJF237" s="48"/>
      <c r="AJG237" s="48"/>
      <c r="AJH237" s="48"/>
      <c r="AJI237" s="48"/>
      <c r="AJJ237" s="48"/>
      <c r="AJK237" s="48"/>
      <c r="AJL237" s="48"/>
      <c r="AJM237" s="48"/>
      <c r="AJN237" s="48"/>
      <c r="AJO237" s="48"/>
      <c r="AJP237" s="48"/>
      <c r="AJQ237" s="48"/>
      <c r="AJR237" s="48"/>
      <c r="AJS237" s="48"/>
      <c r="AJT237" s="48"/>
      <c r="AJU237" s="48"/>
      <c r="AJV237" s="48"/>
      <c r="AJW237" s="48"/>
      <c r="AJX237" s="48"/>
      <c r="AJY237" s="48"/>
      <c r="AJZ237" s="48"/>
      <c r="AKA237" s="48"/>
      <c r="AKB237" s="48"/>
      <c r="AKC237" s="48"/>
      <c r="AKD237" s="48"/>
      <c r="AKE237" s="48"/>
      <c r="AKF237" s="48"/>
      <c r="AKG237" s="48"/>
      <c r="AKH237" s="48"/>
      <c r="AKI237" s="48"/>
      <c r="AKJ237" s="48"/>
      <c r="AKK237" s="48"/>
      <c r="AKL237" s="48"/>
      <c r="AKM237" s="48"/>
      <c r="AKN237" s="48"/>
      <c r="AKO237" s="48"/>
      <c r="AKP237" s="48"/>
      <c r="AKQ237" s="48"/>
      <c r="AKR237" s="48"/>
      <c r="AKS237" s="48"/>
      <c r="AKT237" s="48"/>
      <c r="AKU237" s="48"/>
      <c r="AKV237" s="48"/>
      <c r="AKW237" s="48"/>
      <c r="AKX237" s="48"/>
      <c r="AKY237" s="48"/>
      <c r="AKZ237" s="48"/>
      <c r="ALA237" s="48"/>
      <c r="ALB237" s="48"/>
      <c r="ALC237" s="48"/>
      <c r="ALD237" s="48"/>
      <c r="ALE237" s="48"/>
      <c r="ALF237" s="48"/>
      <c r="ALG237" s="48"/>
      <c r="ALH237" s="48"/>
      <c r="ALI237" s="48"/>
      <c r="ALJ237" s="48"/>
      <c r="ALK237" s="48"/>
      <c r="ALL237" s="48"/>
      <c r="ALM237" s="48"/>
      <c r="ALN237" s="48"/>
      <c r="ALO237" s="48"/>
      <c r="ALP237" s="48"/>
      <c r="ALQ237" s="48"/>
      <c r="ALR237" s="48"/>
      <c r="ALS237" s="48"/>
      <c r="ALT237" s="48"/>
      <c r="ALU237" s="48"/>
      <c r="ALV237" s="48"/>
      <c r="ALW237" s="48"/>
      <c r="ALX237" s="48"/>
      <c r="ALY237" s="48"/>
      <c r="ALZ237" s="48"/>
      <c r="AMA237" s="48"/>
      <c r="AMB237" s="48"/>
      <c r="AMC237" s="48"/>
      <c r="AMD237" s="48"/>
      <c r="AME237" s="48"/>
      <c r="AMF237" s="48"/>
      <c r="AMG237" s="48"/>
      <c r="AMH237" s="48"/>
      <c r="AMI237" s="48"/>
      <c r="AMJ237" s="48"/>
      <c r="AMK237" s="48"/>
    </row>
    <row r="238" spans="1:1025" s="80" customFormat="1" x14ac:dyDescent="0.25">
      <c r="A238" s="140" t="s">
        <v>556</v>
      </c>
      <c r="B238" s="54">
        <v>200</v>
      </c>
      <c r="C238" s="55">
        <v>3.6</v>
      </c>
      <c r="D238" s="55">
        <v>2.7</v>
      </c>
      <c r="E238" s="55">
        <v>22.9</v>
      </c>
      <c r="F238" s="55">
        <v>127</v>
      </c>
      <c r="G238" s="55">
        <v>55.32</v>
      </c>
      <c r="H238" s="55">
        <v>13.49</v>
      </c>
      <c r="I238" s="55">
        <v>0.45</v>
      </c>
      <c r="J238" s="55">
        <v>0.26</v>
      </c>
      <c r="K238" s="120" t="s">
        <v>343</v>
      </c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  <c r="BH238" s="48"/>
      <c r="BI238" s="48"/>
      <c r="BJ238" s="48"/>
      <c r="BK238" s="48"/>
      <c r="BL238" s="48"/>
      <c r="BM238" s="48"/>
      <c r="BN238" s="48"/>
      <c r="BO238" s="48"/>
      <c r="BP238" s="48"/>
      <c r="BQ238" s="48"/>
      <c r="BR238" s="48"/>
      <c r="BS238" s="48"/>
      <c r="BT238" s="48"/>
      <c r="BU238" s="48"/>
      <c r="BV238" s="48"/>
      <c r="BW238" s="48"/>
      <c r="BX238" s="48"/>
      <c r="BY238" s="48"/>
      <c r="BZ238" s="48"/>
      <c r="CA238" s="48"/>
      <c r="CB238" s="48"/>
      <c r="CC238" s="48"/>
      <c r="CD238" s="48"/>
      <c r="CE238" s="48"/>
      <c r="CF238" s="48"/>
      <c r="CG238" s="48"/>
      <c r="CH238" s="48"/>
      <c r="CI238" s="48"/>
      <c r="CJ238" s="48"/>
      <c r="CK238" s="48"/>
      <c r="CL238" s="48"/>
      <c r="CM238" s="48"/>
      <c r="CN238" s="48"/>
      <c r="CO238" s="48"/>
      <c r="CP238" s="48"/>
      <c r="CQ238" s="48"/>
      <c r="CR238" s="48"/>
      <c r="CS238" s="48"/>
      <c r="CT238" s="48"/>
      <c r="CU238" s="48"/>
      <c r="CV238" s="48"/>
      <c r="CW238" s="48"/>
      <c r="CX238" s="48"/>
      <c r="CY238" s="48"/>
      <c r="CZ238" s="48"/>
      <c r="DA238" s="48"/>
      <c r="DB238" s="48"/>
      <c r="DC238" s="48"/>
      <c r="DD238" s="48"/>
      <c r="DE238" s="48"/>
      <c r="DF238" s="48"/>
      <c r="DG238" s="48"/>
      <c r="DH238" s="48"/>
      <c r="DI238" s="48"/>
      <c r="DJ238" s="48"/>
      <c r="DK238" s="48"/>
      <c r="DL238" s="48"/>
      <c r="DM238" s="48"/>
      <c r="DN238" s="48"/>
      <c r="DO238" s="48"/>
      <c r="DP238" s="48"/>
      <c r="DQ238" s="48"/>
      <c r="DR238" s="48"/>
      <c r="DS238" s="48"/>
      <c r="DT238" s="48"/>
      <c r="DU238" s="48"/>
      <c r="DV238" s="48"/>
      <c r="DW238" s="48"/>
      <c r="DX238" s="48"/>
      <c r="DY238" s="48"/>
      <c r="DZ238" s="48"/>
      <c r="EA238" s="48"/>
      <c r="EB238" s="48"/>
      <c r="EC238" s="48"/>
      <c r="ED238" s="48"/>
      <c r="EE238" s="48"/>
      <c r="EF238" s="48"/>
      <c r="EG238" s="48"/>
      <c r="EH238" s="48"/>
      <c r="EI238" s="48"/>
      <c r="EJ238" s="48"/>
      <c r="EK238" s="48"/>
      <c r="EL238" s="48"/>
      <c r="EM238" s="48"/>
      <c r="EN238" s="48"/>
      <c r="EO238" s="48"/>
      <c r="EP238" s="48"/>
      <c r="EQ238" s="48"/>
      <c r="ER238" s="48"/>
      <c r="ES238" s="48"/>
      <c r="ET238" s="48"/>
      <c r="EU238" s="48"/>
      <c r="EV238" s="48"/>
      <c r="EW238" s="48"/>
      <c r="EX238" s="48"/>
      <c r="EY238" s="48"/>
      <c r="EZ238" s="48"/>
      <c r="FA238" s="48"/>
      <c r="FB238" s="48"/>
      <c r="FC238" s="48"/>
      <c r="FD238" s="48"/>
      <c r="FE238" s="48"/>
      <c r="FF238" s="48"/>
      <c r="FG238" s="48"/>
      <c r="FH238" s="48"/>
      <c r="FI238" s="48"/>
      <c r="FJ238" s="48"/>
      <c r="FK238" s="48"/>
      <c r="FL238" s="48"/>
      <c r="FM238" s="48"/>
      <c r="FN238" s="48"/>
      <c r="FO238" s="48"/>
      <c r="FP238" s="48"/>
      <c r="FQ238" s="48"/>
      <c r="FR238" s="48"/>
      <c r="FS238" s="48"/>
      <c r="FT238" s="48"/>
      <c r="FU238" s="48"/>
      <c r="FV238" s="48"/>
      <c r="FW238" s="48"/>
      <c r="FX238" s="48"/>
      <c r="FY238" s="48"/>
      <c r="FZ238" s="48"/>
      <c r="GA238" s="48"/>
      <c r="GB238" s="48"/>
      <c r="GC238" s="48"/>
      <c r="GD238" s="48"/>
      <c r="GE238" s="48"/>
      <c r="GF238" s="48"/>
      <c r="GG238" s="48"/>
      <c r="GH238" s="48"/>
      <c r="GI238" s="48"/>
      <c r="GJ238" s="48"/>
      <c r="GK238" s="48"/>
      <c r="GL238" s="48"/>
      <c r="GM238" s="48"/>
      <c r="GN238" s="48"/>
      <c r="GO238" s="48"/>
      <c r="GP238" s="48"/>
      <c r="GQ238" s="48"/>
      <c r="GR238" s="48"/>
      <c r="GS238" s="48"/>
      <c r="GT238" s="48"/>
      <c r="GU238" s="48"/>
      <c r="GV238" s="48"/>
      <c r="GW238" s="48"/>
      <c r="GX238" s="48"/>
      <c r="GY238" s="48"/>
      <c r="GZ238" s="48"/>
      <c r="HA238" s="48"/>
      <c r="HB238" s="48"/>
      <c r="HC238" s="48"/>
      <c r="HD238" s="48"/>
      <c r="HE238" s="48"/>
      <c r="HF238" s="48"/>
      <c r="HG238" s="48"/>
      <c r="HH238" s="48"/>
      <c r="HI238" s="48"/>
      <c r="HJ238" s="48"/>
      <c r="HK238" s="48"/>
      <c r="HL238" s="48"/>
      <c r="HM238" s="48"/>
      <c r="HN238" s="48"/>
      <c r="HO238" s="48"/>
      <c r="HP238" s="48"/>
      <c r="HQ238" s="48"/>
      <c r="HR238" s="48"/>
      <c r="HS238" s="48"/>
      <c r="HT238" s="48"/>
      <c r="HU238" s="48"/>
      <c r="HV238" s="48"/>
      <c r="HW238" s="48"/>
      <c r="HX238" s="48"/>
      <c r="HY238" s="48"/>
      <c r="HZ238" s="48"/>
      <c r="IA238" s="48"/>
      <c r="IB238" s="48"/>
      <c r="IC238" s="48"/>
      <c r="ID238" s="48"/>
      <c r="IE238" s="48"/>
      <c r="IF238" s="48"/>
      <c r="IG238" s="48"/>
      <c r="IH238" s="48"/>
      <c r="II238" s="48"/>
      <c r="IJ238" s="48"/>
      <c r="IK238" s="48"/>
      <c r="IL238" s="48"/>
      <c r="IM238" s="48"/>
      <c r="IN238" s="48"/>
      <c r="IO238" s="48"/>
      <c r="IP238" s="48"/>
      <c r="IQ238" s="48"/>
      <c r="IR238" s="48"/>
      <c r="IS238" s="48"/>
      <c r="IT238" s="48"/>
      <c r="IU238" s="48"/>
      <c r="IV238" s="48"/>
      <c r="IW238" s="48"/>
      <c r="IX238" s="48"/>
      <c r="IY238" s="48"/>
      <c r="IZ238" s="48"/>
      <c r="JA238" s="48"/>
      <c r="JB238" s="48"/>
      <c r="JC238" s="48"/>
      <c r="JD238" s="48"/>
      <c r="JE238" s="48"/>
      <c r="JF238" s="48"/>
      <c r="JG238" s="48"/>
      <c r="JH238" s="48"/>
      <c r="JI238" s="48"/>
      <c r="JJ238" s="48"/>
      <c r="JK238" s="48"/>
      <c r="JL238" s="48"/>
      <c r="JM238" s="48"/>
      <c r="JN238" s="48"/>
      <c r="JO238" s="48"/>
      <c r="JP238" s="48"/>
      <c r="JQ238" s="48"/>
      <c r="JR238" s="48"/>
      <c r="JS238" s="48"/>
      <c r="JT238" s="48"/>
      <c r="JU238" s="48"/>
      <c r="JV238" s="48"/>
      <c r="JW238" s="48"/>
      <c r="JX238" s="48"/>
      <c r="JY238" s="48"/>
      <c r="JZ238" s="48"/>
      <c r="KA238" s="48"/>
      <c r="KB238" s="48"/>
      <c r="KC238" s="48"/>
      <c r="KD238" s="48"/>
      <c r="KE238" s="48"/>
      <c r="KF238" s="48"/>
      <c r="KG238" s="48"/>
      <c r="KH238" s="48"/>
      <c r="KI238" s="48"/>
      <c r="KJ238" s="48"/>
      <c r="KK238" s="48"/>
      <c r="KL238" s="48"/>
      <c r="KM238" s="48"/>
      <c r="KN238" s="48"/>
      <c r="KO238" s="48"/>
      <c r="KP238" s="48"/>
      <c r="KQ238" s="48"/>
      <c r="KR238" s="48"/>
      <c r="KS238" s="48"/>
      <c r="KT238" s="48"/>
      <c r="KU238" s="48"/>
      <c r="KV238" s="48"/>
      <c r="KW238" s="48"/>
      <c r="KX238" s="48"/>
      <c r="KY238" s="48"/>
      <c r="KZ238" s="48"/>
      <c r="LA238" s="48"/>
      <c r="LB238" s="48"/>
      <c r="LC238" s="48"/>
      <c r="LD238" s="48"/>
      <c r="LE238" s="48"/>
      <c r="LF238" s="48"/>
      <c r="LG238" s="48"/>
      <c r="LH238" s="48"/>
      <c r="LI238" s="48"/>
      <c r="LJ238" s="48"/>
      <c r="LK238" s="48"/>
      <c r="LL238" s="48"/>
      <c r="LM238" s="48"/>
      <c r="LN238" s="48"/>
      <c r="LO238" s="48"/>
      <c r="LP238" s="48"/>
      <c r="LQ238" s="48"/>
      <c r="LR238" s="48"/>
      <c r="LS238" s="48"/>
      <c r="LT238" s="48"/>
      <c r="LU238" s="48"/>
      <c r="LV238" s="48"/>
      <c r="LW238" s="48"/>
      <c r="LX238" s="48"/>
      <c r="LY238" s="48"/>
      <c r="LZ238" s="48"/>
      <c r="MA238" s="48"/>
      <c r="MB238" s="48"/>
      <c r="MC238" s="48"/>
      <c r="MD238" s="48"/>
      <c r="ME238" s="48"/>
      <c r="MF238" s="48"/>
      <c r="MG238" s="48"/>
      <c r="MH238" s="48"/>
      <c r="MI238" s="48"/>
      <c r="MJ238" s="48"/>
      <c r="MK238" s="48"/>
      <c r="ML238" s="48"/>
      <c r="MM238" s="48"/>
      <c r="MN238" s="48"/>
      <c r="MO238" s="48"/>
      <c r="MP238" s="48"/>
      <c r="MQ238" s="48"/>
      <c r="MR238" s="48"/>
      <c r="MS238" s="48"/>
      <c r="MT238" s="48"/>
      <c r="MU238" s="48"/>
      <c r="MV238" s="48"/>
      <c r="MW238" s="48"/>
      <c r="MX238" s="48"/>
      <c r="MY238" s="48"/>
      <c r="MZ238" s="48"/>
      <c r="NA238" s="48"/>
      <c r="NB238" s="48"/>
      <c r="NC238" s="48"/>
      <c r="ND238" s="48"/>
      <c r="NE238" s="48"/>
      <c r="NF238" s="48"/>
      <c r="NG238" s="48"/>
      <c r="NH238" s="48"/>
      <c r="NI238" s="48"/>
      <c r="NJ238" s="48"/>
      <c r="NK238" s="48"/>
      <c r="NL238" s="48"/>
      <c r="NM238" s="48"/>
      <c r="NN238" s="48"/>
      <c r="NO238" s="48"/>
      <c r="NP238" s="48"/>
      <c r="NQ238" s="48"/>
      <c r="NR238" s="48"/>
      <c r="NS238" s="48"/>
      <c r="NT238" s="48"/>
      <c r="NU238" s="48"/>
      <c r="NV238" s="48"/>
      <c r="NW238" s="48"/>
      <c r="NX238" s="48"/>
      <c r="NY238" s="48"/>
      <c r="NZ238" s="48"/>
      <c r="OA238" s="48"/>
      <c r="OB238" s="48"/>
      <c r="OC238" s="48"/>
      <c r="OD238" s="48"/>
      <c r="OE238" s="48"/>
      <c r="OF238" s="48"/>
      <c r="OG238" s="48"/>
      <c r="OH238" s="48"/>
      <c r="OI238" s="48"/>
      <c r="OJ238" s="48"/>
      <c r="OK238" s="48"/>
      <c r="OL238" s="48"/>
      <c r="OM238" s="48"/>
      <c r="ON238" s="48"/>
      <c r="OO238" s="48"/>
      <c r="OP238" s="48"/>
      <c r="OQ238" s="48"/>
      <c r="OR238" s="48"/>
      <c r="OS238" s="48"/>
      <c r="OT238" s="48"/>
      <c r="OU238" s="48"/>
      <c r="OV238" s="48"/>
      <c r="OW238" s="48"/>
      <c r="OX238" s="48"/>
      <c r="OY238" s="48"/>
      <c r="OZ238" s="48"/>
      <c r="PA238" s="48"/>
      <c r="PB238" s="48"/>
      <c r="PC238" s="48"/>
      <c r="PD238" s="48"/>
      <c r="PE238" s="48"/>
      <c r="PF238" s="48"/>
      <c r="PG238" s="48"/>
      <c r="PH238" s="48"/>
      <c r="PI238" s="48"/>
      <c r="PJ238" s="48"/>
      <c r="PK238" s="48"/>
      <c r="PL238" s="48"/>
      <c r="PM238" s="48"/>
      <c r="PN238" s="48"/>
      <c r="PO238" s="48"/>
      <c r="PP238" s="48"/>
      <c r="PQ238" s="48"/>
      <c r="PR238" s="48"/>
      <c r="PS238" s="48"/>
      <c r="PT238" s="48"/>
      <c r="PU238" s="48"/>
      <c r="PV238" s="48"/>
      <c r="PW238" s="48"/>
      <c r="PX238" s="48"/>
      <c r="PY238" s="48"/>
      <c r="PZ238" s="48"/>
      <c r="QA238" s="48"/>
      <c r="QB238" s="48"/>
      <c r="QC238" s="48"/>
      <c r="QD238" s="48"/>
      <c r="QE238" s="48"/>
      <c r="QF238" s="48"/>
      <c r="QG238" s="48"/>
      <c r="QH238" s="48"/>
      <c r="QI238" s="48"/>
      <c r="QJ238" s="48"/>
      <c r="QK238" s="48"/>
      <c r="QL238" s="48"/>
      <c r="QM238" s="48"/>
      <c r="QN238" s="48"/>
      <c r="QO238" s="48"/>
      <c r="QP238" s="48"/>
      <c r="QQ238" s="48"/>
      <c r="QR238" s="48"/>
      <c r="QS238" s="48"/>
      <c r="QT238" s="48"/>
      <c r="QU238" s="48"/>
      <c r="QV238" s="48"/>
      <c r="QW238" s="48"/>
      <c r="QX238" s="48"/>
      <c r="QY238" s="48"/>
      <c r="QZ238" s="48"/>
      <c r="RA238" s="48"/>
      <c r="RB238" s="48"/>
      <c r="RC238" s="48"/>
      <c r="RD238" s="48"/>
      <c r="RE238" s="48"/>
      <c r="RF238" s="48"/>
      <c r="RG238" s="48"/>
      <c r="RH238" s="48"/>
      <c r="RI238" s="48"/>
      <c r="RJ238" s="48"/>
      <c r="RK238" s="48"/>
      <c r="RL238" s="48"/>
      <c r="RM238" s="48"/>
      <c r="RN238" s="48"/>
      <c r="RO238" s="48"/>
      <c r="RP238" s="48"/>
      <c r="RQ238" s="48"/>
      <c r="RR238" s="48"/>
      <c r="RS238" s="48"/>
      <c r="RT238" s="48"/>
      <c r="RU238" s="48"/>
      <c r="RV238" s="48"/>
      <c r="RW238" s="48"/>
      <c r="RX238" s="48"/>
      <c r="RY238" s="48"/>
      <c r="RZ238" s="48"/>
      <c r="SA238" s="48"/>
      <c r="SB238" s="48"/>
      <c r="SC238" s="48"/>
      <c r="SD238" s="48"/>
      <c r="SE238" s="48"/>
      <c r="SF238" s="48"/>
      <c r="SG238" s="48"/>
      <c r="SH238" s="48"/>
      <c r="SI238" s="48"/>
      <c r="SJ238" s="48"/>
      <c r="SK238" s="48"/>
      <c r="SL238" s="48"/>
      <c r="SM238" s="48"/>
      <c r="SN238" s="48"/>
      <c r="SO238" s="48"/>
      <c r="SP238" s="48"/>
      <c r="SQ238" s="48"/>
      <c r="SR238" s="48"/>
      <c r="SS238" s="48"/>
      <c r="ST238" s="48"/>
      <c r="SU238" s="48"/>
      <c r="SV238" s="48"/>
      <c r="SW238" s="48"/>
      <c r="SX238" s="48"/>
      <c r="SY238" s="48"/>
      <c r="SZ238" s="48"/>
      <c r="TA238" s="48"/>
      <c r="TB238" s="48"/>
      <c r="TC238" s="48"/>
      <c r="TD238" s="48"/>
      <c r="TE238" s="48"/>
      <c r="TF238" s="48"/>
      <c r="TG238" s="48"/>
      <c r="TH238" s="48"/>
      <c r="TI238" s="48"/>
      <c r="TJ238" s="48"/>
      <c r="TK238" s="48"/>
      <c r="TL238" s="48"/>
      <c r="TM238" s="48"/>
      <c r="TN238" s="48"/>
      <c r="TO238" s="48"/>
      <c r="TP238" s="48"/>
      <c r="TQ238" s="48"/>
      <c r="TR238" s="48"/>
      <c r="TS238" s="48"/>
      <c r="TT238" s="48"/>
      <c r="TU238" s="48"/>
      <c r="TV238" s="48"/>
      <c r="TW238" s="48"/>
      <c r="TX238" s="48"/>
      <c r="TY238" s="48"/>
      <c r="TZ238" s="48"/>
      <c r="UA238" s="48"/>
      <c r="UB238" s="48"/>
      <c r="UC238" s="48"/>
      <c r="UD238" s="48"/>
      <c r="UE238" s="48"/>
      <c r="UF238" s="48"/>
      <c r="UG238" s="48"/>
      <c r="UH238" s="48"/>
      <c r="UI238" s="48"/>
      <c r="UJ238" s="48"/>
      <c r="UK238" s="48"/>
      <c r="UL238" s="48"/>
      <c r="UM238" s="48"/>
      <c r="UN238" s="48"/>
      <c r="UO238" s="48"/>
      <c r="UP238" s="48"/>
      <c r="UQ238" s="48"/>
      <c r="UR238" s="48"/>
      <c r="US238" s="48"/>
      <c r="UT238" s="48"/>
      <c r="UU238" s="48"/>
      <c r="UV238" s="48"/>
      <c r="UW238" s="48"/>
      <c r="UX238" s="48"/>
      <c r="UY238" s="48"/>
      <c r="UZ238" s="48"/>
      <c r="VA238" s="48"/>
      <c r="VB238" s="48"/>
      <c r="VC238" s="48"/>
      <c r="VD238" s="48"/>
      <c r="VE238" s="48"/>
      <c r="VF238" s="48"/>
      <c r="VG238" s="48"/>
      <c r="VH238" s="48"/>
      <c r="VI238" s="48"/>
      <c r="VJ238" s="48"/>
      <c r="VK238" s="48"/>
      <c r="VL238" s="48"/>
      <c r="VM238" s="48"/>
      <c r="VN238" s="48"/>
      <c r="VO238" s="48"/>
      <c r="VP238" s="48"/>
      <c r="VQ238" s="48"/>
      <c r="VR238" s="48"/>
      <c r="VS238" s="48"/>
      <c r="VT238" s="48"/>
      <c r="VU238" s="48"/>
      <c r="VV238" s="48"/>
      <c r="VW238" s="48"/>
      <c r="VX238" s="48"/>
      <c r="VY238" s="48"/>
      <c r="VZ238" s="48"/>
      <c r="WA238" s="48"/>
      <c r="WB238" s="48"/>
      <c r="WC238" s="48"/>
      <c r="WD238" s="48"/>
      <c r="WE238" s="48"/>
      <c r="WF238" s="48"/>
      <c r="WG238" s="48"/>
      <c r="WH238" s="48"/>
      <c r="WI238" s="48"/>
      <c r="WJ238" s="48"/>
      <c r="WK238" s="48"/>
      <c r="WL238" s="48"/>
      <c r="WM238" s="48"/>
      <c r="WN238" s="48"/>
      <c r="WO238" s="48"/>
      <c r="WP238" s="48"/>
      <c r="WQ238" s="48"/>
      <c r="WR238" s="48"/>
      <c r="WS238" s="48"/>
      <c r="WT238" s="48"/>
      <c r="WU238" s="48"/>
      <c r="WV238" s="48"/>
      <c r="WW238" s="48"/>
      <c r="WX238" s="48"/>
      <c r="WY238" s="48"/>
      <c r="WZ238" s="48"/>
      <c r="XA238" s="48"/>
      <c r="XB238" s="48"/>
      <c r="XC238" s="48"/>
      <c r="XD238" s="48"/>
      <c r="XE238" s="48"/>
      <c r="XF238" s="48"/>
      <c r="XG238" s="48"/>
      <c r="XH238" s="48"/>
      <c r="XI238" s="48"/>
      <c r="XJ238" s="48"/>
      <c r="XK238" s="48"/>
      <c r="XL238" s="48"/>
      <c r="XM238" s="48"/>
      <c r="XN238" s="48"/>
      <c r="XO238" s="48"/>
      <c r="XP238" s="48"/>
      <c r="XQ238" s="48"/>
      <c r="XR238" s="48"/>
      <c r="XS238" s="48"/>
      <c r="XT238" s="48"/>
      <c r="XU238" s="48"/>
      <c r="XV238" s="48"/>
      <c r="XW238" s="48"/>
      <c r="XX238" s="48"/>
      <c r="XY238" s="48"/>
      <c r="XZ238" s="48"/>
      <c r="YA238" s="48"/>
      <c r="YB238" s="48"/>
      <c r="YC238" s="48"/>
      <c r="YD238" s="48"/>
      <c r="YE238" s="48"/>
      <c r="YF238" s="48"/>
      <c r="YG238" s="48"/>
      <c r="YH238" s="48"/>
      <c r="YI238" s="48"/>
      <c r="YJ238" s="48"/>
      <c r="YK238" s="48"/>
      <c r="YL238" s="48"/>
      <c r="YM238" s="48"/>
      <c r="YN238" s="48"/>
      <c r="YO238" s="48"/>
      <c r="YP238" s="48"/>
      <c r="YQ238" s="48"/>
      <c r="YR238" s="48"/>
      <c r="YS238" s="48"/>
      <c r="YT238" s="48"/>
      <c r="YU238" s="48"/>
      <c r="YV238" s="48"/>
      <c r="YW238" s="48"/>
      <c r="YX238" s="48"/>
      <c r="YY238" s="48"/>
      <c r="YZ238" s="48"/>
      <c r="ZA238" s="48"/>
      <c r="ZB238" s="48"/>
      <c r="ZC238" s="48"/>
      <c r="ZD238" s="48"/>
      <c r="ZE238" s="48"/>
      <c r="ZF238" s="48"/>
      <c r="ZG238" s="48"/>
      <c r="ZH238" s="48"/>
      <c r="ZI238" s="48"/>
      <c r="ZJ238" s="48"/>
      <c r="ZK238" s="48"/>
      <c r="ZL238" s="48"/>
      <c r="ZM238" s="48"/>
      <c r="ZN238" s="48"/>
      <c r="ZO238" s="48"/>
      <c r="ZP238" s="48"/>
      <c r="ZQ238" s="48"/>
      <c r="ZR238" s="48"/>
      <c r="ZS238" s="48"/>
      <c r="ZT238" s="48"/>
      <c r="ZU238" s="48"/>
      <c r="ZV238" s="48"/>
      <c r="ZW238" s="48"/>
      <c r="ZX238" s="48"/>
      <c r="ZY238" s="48"/>
      <c r="ZZ238" s="48"/>
      <c r="AAA238" s="48"/>
      <c r="AAB238" s="48"/>
      <c r="AAC238" s="48"/>
      <c r="AAD238" s="48"/>
      <c r="AAE238" s="48"/>
      <c r="AAF238" s="48"/>
      <c r="AAG238" s="48"/>
      <c r="AAH238" s="48"/>
      <c r="AAI238" s="48"/>
      <c r="AAJ238" s="48"/>
      <c r="AAK238" s="48"/>
      <c r="AAL238" s="48"/>
      <c r="AAM238" s="48"/>
      <c r="AAN238" s="48"/>
      <c r="AAO238" s="48"/>
      <c r="AAP238" s="48"/>
      <c r="AAQ238" s="48"/>
      <c r="AAR238" s="48"/>
      <c r="AAS238" s="48"/>
      <c r="AAT238" s="48"/>
      <c r="AAU238" s="48"/>
      <c r="AAV238" s="48"/>
      <c r="AAW238" s="48"/>
      <c r="AAX238" s="48"/>
      <c r="AAY238" s="48"/>
      <c r="AAZ238" s="48"/>
      <c r="ABA238" s="48"/>
      <c r="ABB238" s="48"/>
      <c r="ABC238" s="48"/>
      <c r="ABD238" s="48"/>
      <c r="ABE238" s="48"/>
      <c r="ABF238" s="48"/>
      <c r="ABG238" s="48"/>
      <c r="ABH238" s="48"/>
      <c r="ABI238" s="48"/>
      <c r="ABJ238" s="48"/>
      <c r="ABK238" s="48"/>
      <c r="ABL238" s="48"/>
      <c r="ABM238" s="48"/>
      <c r="ABN238" s="48"/>
      <c r="ABO238" s="48"/>
      <c r="ABP238" s="48"/>
      <c r="ABQ238" s="48"/>
      <c r="ABR238" s="48"/>
      <c r="ABS238" s="48"/>
      <c r="ABT238" s="48"/>
      <c r="ABU238" s="48"/>
      <c r="ABV238" s="48"/>
      <c r="ABW238" s="48"/>
      <c r="ABX238" s="48"/>
      <c r="ABY238" s="48"/>
      <c r="ABZ238" s="48"/>
      <c r="ACA238" s="48"/>
      <c r="ACB238" s="48"/>
      <c r="ACC238" s="48"/>
      <c r="ACD238" s="48"/>
      <c r="ACE238" s="48"/>
      <c r="ACF238" s="48"/>
      <c r="ACG238" s="48"/>
      <c r="ACH238" s="48"/>
      <c r="ACI238" s="48"/>
      <c r="ACJ238" s="48"/>
      <c r="ACK238" s="48"/>
      <c r="ACL238" s="48"/>
      <c r="ACM238" s="48"/>
      <c r="ACN238" s="48"/>
      <c r="ACO238" s="48"/>
      <c r="ACP238" s="48"/>
      <c r="ACQ238" s="48"/>
      <c r="ACR238" s="48"/>
      <c r="ACS238" s="48"/>
      <c r="ACT238" s="48"/>
      <c r="ACU238" s="48"/>
      <c r="ACV238" s="48"/>
      <c r="ACW238" s="48"/>
      <c r="ACX238" s="48"/>
      <c r="ACY238" s="48"/>
      <c r="ACZ238" s="48"/>
      <c r="ADA238" s="48"/>
      <c r="ADB238" s="48"/>
      <c r="ADC238" s="48"/>
      <c r="ADD238" s="48"/>
      <c r="ADE238" s="48"/>
      <c r="ADF238" s="48"/>
      <c r="ADG238" s="48"/>
      <c r="ADH238" s="48"/>
      <c r="ADI238" s="48"/>
      <c r="ADJ238" s="48"/>
      <c r="ADK238" s="48"/>
      <c r="ADL238" s="48"/>
      <c r="ADM238" s="48"/>
      <c r="ADN238" s="48"/>
      <c r="ADO238" s="48"/>
      <c r="ADP238" s="48"/>
      <c r="ADQ238" s="48"/>
      <c r="ADR238" s="48"/>
      <c r="ADS238" s="48"/>
      <c r="ADT238" s="48"/>
      <c r="ADU238" s="48"/>
      <c r="ADV238" s="48"/>
      <c r="ADW238" s="48"/>
      <c r="ADX238" s="48"/>
      <c r="ADY238" s="48"/>
      <c r="ADZ238" s="48"/>
      <c r="AEA238" s="48"/>
      <c r="AEB238" s="48"/>
      <c r="AEC238" s="48"/>
      <c r="AED238" s="48"/>
      <c r="AEE238" s="48"/>
      <c r="AEF238" s="48"/>
      <c r="AEG238" s="48"/>
      <c r="AEH238" s="48"/>
      <c r="AEI238" s="48"/>
      <c r="AEJ238" s="48"/>
      <c r="AEK238" s="48"/>
      <c r="AEL238" s="48"/>
      <c r="AEM238" s="48"/>
      <c r="AEN238" s="48"/>
      <c r="AEO238" s="48"/>
      <c r="AEP238" s="48"/>
      <c r="AEQ238" s="48"/>
      <c r="AER238" s="48"/>
      <c r="AES238" s="48"/>
      <c r="AET238" s="48"/>
      <c r="AEU238" s="48"/>
      <c r="AEV238" s="48"/>
      <c r="AEW238" s="48"/>
      <c r="AEX238" s="48"/>
      <c r="AEY238" s="48"/>
      <c r="AEZ238" s="48"/>
      <c r="AFA238" s="48"/>
      <c r="AFB238" s="48"/>
      <c r="AFC238" s="48"/>
      <c r="AFD238" s="48"/>
      <c r="AFE238" s="48"/>
      <c r="AFF238" s="48"/>
      <c r="AFG238" s="48"/>
      <c r="AFH238" s="48"/>
      <c r="AFI238" s="48"/>
      <c r="AFJ238" s="48"/>
      <c r="AFK238" s="48"/>
      <c r="AFL238" s="48"/>
      <c r="AFM238" s="48"/>
      <c r="AFN238" s="48"/>
      <c r="AFO238" s="48"/>
      <c r="AFP238" s="48"/>
      <c r="AFQ238" s="48"/>
      <c r="AFR238" s="48"/>
      <c r="AFS238" s="48"/>
      <c r="AFT238" s="48"/>
      <c r="AFU238" s="48"/>
      <c r="AFV238" s="48"/>
      <c r="AFW238" s="48"/>
      <c r="AFX238" s="48"/>
      <c r="AFY238" s="48"/>
      <c r="AFZ238" s="48"/>
      <c r="AGA238" s="48"/>
      <c r="AGB238" s="48"/>
      <c r="AGC238" s="48"/>
      <c r="AGD238" s="48"/>
      <c r="AGE238" s="48"/>
      <c r="AGF238" s="48"/>
      <c r="AGG238" s="48"/>
      <c r="AGH238" s="48"/>
      <c r="AGI238" s="48"/>
      <c r="AGJ238" s="48"/>
      <c r="AGK238" s="48"/>
      <c r="AGL238" s="48"/>
      <c r="AGM238" s="48"/>
      <c r="AGN238" s="48"/>
      <c r="AGO238" s="48"/>
      <c r="AGP238" s="48"/>
      <c r="AGQ238" s="48"/>
      <c r="AGR238" s="48"/>
      <c r="AGS238" s="48"/>
      <c r="AGT238" s="48"/>
      <c r="AGU238" s="48"/>
      <c r="AGV238" s="48"/>
      <c r="AGW238" s="48"/>
      <c r="AGX238" s="48"/>
      <c r="AGY238" s="48"/>
      <c r="AGZ238" s="48"/>
      <c r="AHA238" s="48"/>
      <c r="AHB238" s="48"/>
      <c r="AHC238" s="48"/>
      <c r="AHD238" s="48"/>
      <c r="AHE238" s="48"/>
      <c r="AHF238" s="48"/>
      <c r="AHG238" s="48"/>
      <c r="AHH238" s="48"/>
      <c r="AHI238" s="48"/>
      <c r="AHJ238" s="48"/>
      <c r="AHK238" s="48"/>
      <c r="AHL238" s="48"/>
      <c r="AHM238" s="48"/>
      <c r="AHN238" s="48"/>
      <c r="AHO238" s="48"/>
      <c r="AHP238" s="48"/>
      <c r="AHQ238" s="48"/>
      <c r="AHR238" s="48"/>
      <c r="AHS238" s="48"/>
      <c r="AHT238" s="48"/>
      <c r="AHU238" s="48"/>
      <c r="AHV238" s="48"/>
      <c r="AHW238" s="48"/>
      <c r="AHX238" s="48"/>
      <c r="AHY238" s="48"/>
      <c r="AHZ238" s="48"/>
      <c r="AIA238" s="48"/>
      <c r="AIB238" s="48"/>
      <c r="AIC238" s="48"/>
      <c r="AID238" s="48"/>
      <c r="AIE238" s="48"/>
      <c r="AIF238" s="48"/>
      <c r="AIG238" s="48"/>
      <c r="AIH238" s="48"/>
      <c r="AII238" s="48"/>
      <c r="AIJ238" s="48"/>
      <c r="AIK238" s="48"/>
      <c r="AIL238" s="48"/>
      <c r="AIM238" s="48"/>
      <c r="AIN238" s="48"/>
      <c r="AIO238" s="48"/>
      <c r="AIP238" s="48"/>
      <c r="AIQ238" s="48"/>
      <c r="AIR238" s="48"/>
      <c r="AIS238" s="48"/>
      <c r="AIT238" s="48"/>
      <c r="AIU238" s="48"/>
      <c r="AIV238" s="48"/>
      <c r="AIW238" s="48"/>
      <c r="AIX238" s="48"/>
      <c r="AIY238" s="48"/>
      <c r="AIZ238" s="48"/>
      <c r="AJA238" s="48"/>
      <c r="AJB238" s="48"/>
      <c r="AJC238" s="48"/>
      <c r="AJD238" s="48"/>
      <c r="AJE238" s="48"/>
      <c r="AJF238" s="48"/>
      <c r="AJG238" s="48"/>
      <c r="AJH238" s="48"/>
      <c r="AJI238" s="48"/>
      <c r="AJJ238" s="48"/>
      <c r="AJK238" s="48"/>
      <c r="AJL238" s="48"/>
      <c r="AJM238" s="48"/>
      <c r="AJN238" s="48"/>
      <c r="AJO238" s="48"/>
      <c r="AJP238" s="48"/>
      <c r="AJQ238" s="48"/>
      <c r="AJR238" s="48"/>
      <c r="AJS238" s="48"/>
      <c r="AJT238" s="48"/>
      <c r="AJU238" s="48"/>
      <c r="AJV238" s="48"/>
      <c r="AJW238" s="48"/>
      <c r="AJX238" s="48"/>
      <c r="AJY238" s="48"/>
      <c r="AJZ238" s="48"/>
      <c r="AKA238" s="48"/>
      <c r="AKB238" s="48"/>
      <c r="AKC238" s="48"/>
      <c r="AKD238" s="48"/>
      <c r="AKE238" s="48"/>
      <c r="AKF238" s="48"/>
      <c r="AKG238" s="48"/>
      <c r="AKH238" s="48"/>
      <c r="AKI238" s="48"/>
      <c r="AKJ238" s="48"/>
      <c r="AKK238" s="48"/>
      <c r="AKL238" s="48"/>
      <c r="AKM238" s="48"/>
      <c r="AKN238" s="48"/>
      <c r="AKO238" s="48"/>
      <c r="AKP238" s="48"/>
      <c r="AKQ238" s="48"/>
      <c r="AKR238" s="48"/>
      <c r="AKS238" s="48"/>
      <c r="AKT238" s="48"/>
      <c r="AKU238" s="48"/>
      <c r="AKV238" s="48"/>
      <c r="AKW238" s="48"/>
      <c r="AKX238" s="48"/>
      <c r="AKY238" s="48"/>
      <c r="AKZ238" s="48"/>
      <c r="ALA238" s="48"/>
      <c r="ALB238" s="48"/>
      <c r="ALC238" s="48"/>
      <c r="ALD238" s="48"/>
      <c r="ALE238" s="48"/>
      <c r="ALF238" s="48"/>
      <c r="ALG238" s="48"/>
      <c r="ALH238" s="48"/>
      <c r="ALI238" s="48"/>
      <c r="ALJ238" s="48"/>
      <c r="ALK238" s="48"/>
      <c r="ALL238" s="48"/>
      <c r="ALM238" s="48"/>
      <c r="ALN238" s="48"/>
      <c r="ALO238" s="48"/>
      <c r="ALP238" s="48"/>
      <c r="ALQ238" s="48"/>
      <c r="ALR238" s="48"/>
      <c r="ALS238" s="48"/>
      <c r="ALT238" s="48"/>
      <c r="ALU238" s="48"/>
      <c r="ALV238" s="48"/>
      <c r="ALW238" s="48"/>
      <c r="ALX238" s="48"/>
      <c r="ALY238" s="48"/>
      <c r="ALZ238" s="48"/>
      <c r="AMA238" s="48"/>
      <c r="AMB238" s="48"/>
      <c r="AMC238" s="48"/>
      <c r="AMD238" s="48"/>
      <c r="AME238" s="48"/>
      <c r="AMF238" s="48"/>
      <c r="AMG238" s="48"/>
      <c r="AMH238" s="48"/>
      <c r="AMI238" s="48"/>
      <c r="AMJ238" s="48"/>
      <c r="AMK238" s="48"/>
    </row>
    <row r="239" spans="1:1025" s="80" customFormat="1" x14ac:dyDescent="0.25">
      <c r="A239" s="140" t="s">
        <v>557</v>
      </c>
      <c r="B239" s="54" t="s">
        <v>138</v>
      </c>
      <c r="C239" s="55">
        <v>2.2200000000000002</v>
      </c>
      <c r="D239" s="55">
        <v>4.38</v>
      </c>
      <c r="E239" s="55">
        <v>16.97</v>
      </c>
      <c r="F239" s="55">
        <v>121.1</v>
      </c>
      <c r="G239" s="55">
        <v>11.1</v>
      </c>
      <c r="H239" s="55">
        <v>21.58</v>
      </c>
      <c r="I239" s="55">
        <v>0.85</v>
      </c>
      <c r="J239" s="55">
        <v>12.84</v>
      </c>
      <c r="K239" s="120" t="s">
        <v>177</v>
      </c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  <c r="BH239" s="48"/>
      <c r="BI239" s="48"/>
      <c r="BJ239" s="48"/>
      <c r="BK239" s="48"/>
      <c r="BL239" s="48"/>
      <c r="BM239" s="48"/>
      <c r="BN239" s="48"/>
      <c r="BO239" s="48"/>
      <c r="BP239" s="48"/>
      <c r="BQ239" s="48"/>
      <c r="BR239" s="48"/>
      <c r="BS239" s="48"/>
      <c r="BT239" s="48"/>
      <c r="BU239" s="48"/>
      <c r="BV239" s="48"/>
      <c r="BW239" s="48"/>
      <c r="BX239" s="48"/>
      <c r="BY239" s="48"/>
      <c r="BZ239" s="48"/>
      <c r="CA239" s="48"/>
      <c r="CB239" s="48"/>
      <c r="CC239" s="48"/>
      <c r="CD239" s="48"/>
      <c r="CE239" s="48"/>
      <c r="CF239" s="48"/>
      <c r="CG239" s="48"/>
      <c r="CH239" s="48"/>
      <c r="CI239" s="48"/>
      <c r="CJ239" s="48"/>
      <c r="CK239" s="48"/>
      <c r="CL239" s="48"/>
      <c r="CM239" s="48"/>
      <c r="CN239" s="48"/>
      <c r="CO239" s="48"/>
      <c r="CP239" s="48"/>
      <c r="CQ239" s="48"/>
      <c r="CR239" s="48"/>
      <c r="CS239" s="48"/>
      <c r="CT239" s="48"/>
      <c r="CU239" s="48"/>
      <c r="CV239" s="48"/>
      <c r="CW239" s="48"/>
      <c r="CX239" s="48"/>
      <c r="CY239" s="48"/>
      <c r="CZ239" s="48"/>
      <c r="DA239" s="48"/>
      <c r="DB239" s="48"/>
      <c r="DC239" s="48"/>
      <c r="DD239" s="48"/>
      <c r="DE239" s="48"/>
      <c r="DF239" s="48"/>
      <c r="DG239" s="48"/>
      <c r="DH239" s="48"/>
      <c r="DI239" s="48"/>
      <c r="DJ239" s="48"/>
      <c r="DK239" s="48"/>
      <c r="DL239" s="48"/>
      <c r="DM239" s="48"/>
      <c r="DN239" s="48"/>
      <c r="DO239" s="48"/>
      <c r="DP239" s="48"/>
      <c r="DQ239" s="48"/>
      <c r="DR239" s="48"/>
      <c r="DS239" s="48"/>
      <c r="DT239" s="48"/>
      <c r="DU239" s="48"/>
      <c r="DV239" s="48"/>
      <c r="DW239" s="48"/>
      <c r="DX239" s="48"/>
      <c r="DY239" s="48"/>
      <c r="DZ239" s="48"/>
      <c r="EA239" s="48"/>
      <c r="EB239" s="48"/>
      <c r="EC239" s="48"/>
      <c r="ED239" s="48"/>
      <c r="EE239" s="48"/>
      <c r="EF239" s="48"/>
      <c r="EG239" s="48"/>
      <c r="EH239" s="48"/>
      <c r="EI239" s="48"/>
      <c r="EJ239" s="48"/>
      <c r="EK239" s="48"/>
      <c r="EL239" s="48"/>
      <c r="EM239" s="48"/>
      <c r="EN239" s="48"/>
      <c r="EO239" s="48"/>
      <c r="EP239" s="48"/>
      <c r="EQ239" s="48"/>
      <c r="ER239" s="48"/>
      <c r="ES239" s="48"/>
      <c r="ET239" s="48"/>
      <c r="EU239" s="48"/>
      <c r="EV239" s="48"/>
      <c r="EW239" s="48"/>
      <c r="EX239" s="48"/>
      <c r="EY239" s="48"/>
      <c r="EZ239" s="48"/>
      <c r="FA239" s="48"/>
      <c r="FB239" s="48"/>
      <c r="FC239" s="48"/>
      <c r="FD239" s="48"/>
      <c r="FE239" s="48"/>
      <c r="FF239" s="48"/>
      <c r="FG239" s="48"/>
      <c r="FH239" s="48"/>
      <c r="FI239" s="48"/>
      <c r="FJ239" s="48"/>
      <c r="FK239" s="48"/>
      <c r="FL239" s="48"/>
      <c r="FM239" s="48"/>
      <c r="FN239" s="48"/>
      <c r="FO239" s="48"/>
      <c r="FP239" s="48"/>
      <c r="FQ239" s="48"/>
      <c r="FR239" s="48"/>
      <c r="FS239" s="48"/>
      <c r="FT239" s="48"/>
      <c r="FU239" s="48"/>
      <c r="FV239" s="48"/>
      <c r="FW239" s="48"/>
      <c r="FX239" s="48"/>
      <c r="FY239" s="48"/>
      <c r="FZ239" s="48"/>
      <c r="GA239" s="48"/>
      <c r="GB239" s="48"/>
      <c r="GC239" s="48"/>
      <c r="GD239" s="48"/>
      <c r="GE239" s="48"/>
      <c r="GF239" s="48"/>
      <c r="GG239" s="48"/>
      <c r="GH239" s="48"/>
      <c r="GI239" s="48"/>
      <c r="GJ239" s="48"/>
      <c r="GK239" s="48"/>
      <c r="GL239" s="48"/>
      <c r="GM239" s="48"/>
      <c r="GN239" s="48"/>
      <c r="GO239" s="48"/>
      <c r="GP239" s="48"/>
      <c r="GQ239" s="48"/>
      <c r="GR239" s="48"/>
      <c r="GS239" s="48"/>
      <c r="GT239" s="48"/>
      <c r="GU239" s="48"/>
      <c r="GV239" s="48"/>
      <c r="GW239" s="48"/>
      <c r="GX239" s="48"/>
      <c r="GY239" s="48"/>
      <c r="GZ239" s="48"/>
      <c r="HA239" s="48"/>
      <c r="HB239" s="48"/>
      <c r="HC239" s="48"/>
      <c r="HD239" s="48"/>
      <c r="HE239" s="48"/>
      <c r="HF239" s="48"/>
      <c r="HG239" s="48"/>
      <c r="HH239" s="48"/>
      <c r="HI239" s="48"/>
      <c r="HJ239" s="48"/>
      <c r="HK239" s="48"/>
      <c r="HL239" s="48"/>
      <c r="HM239" s="48"/>
      <c r="HN239" s="48"/>
      <c r="HO239" s="48"/>
      <c r="HP239" s="48"/>
      <c r="HQ239" s="48"/>
      <c r="HR239" s="48"/>
      <c r="HS239" s="48"/>
      <c r="HT239" s="48"/>
      <c r="HU239" s="48"/>
      <c r="HV239" s="48"/>
      <c r="HW239" s="48"/>
      <c r="HX239" s="48"/>
      <c r="HY239" s="48"/>
      <c r="HZ239" s="48"/>
      <c r="IA239" s="48"/>
      <c r="IB239" s="48"/>
      <c r="IC239" s="48"/>
      <c r="ID239" s="48"/>
      <c r="IE239" s="48"/>
      <c r="IF239" s="48"/>
      <c r="IG239" s="48"/>
      <c r="IH239" s="48"/>
      <c r="II239" s="48"/>
      <c r="IJ239" s="48"/>
      <c r="IK239" s="48"/>
      <c r="IL239" s="48"/>
      <c r="IM239" s="48"/>
      <c r="IN239" s="48"/>
      <c r="IO239" s="48"/>
      <c r="IP239" s="48"/>
      <c r="IQ239" s="48"/>
      <c r="IR239" s="48"/>
      <c r="IS239" s="48"/>
      <c r="IT239" s="48"/>
      <c r="IU239" s="48"/>
      <c r="IV239" s="48"/>
      <c r="IW239" s="48"/>
      <c r="IX239" s="48"/>
      <c r="IY239" s="48"/>
      <c r="IZ239" s="48"/>
      <c r="JA239" s="48"/>
      <c r="JB239" s="48"/>
      <c r="JC239" s="48"/>
      <c r="JD239" s="48"/>
      <c r="JE239" s="48"/>
      <c r="JF239" s="48"/>
      <c r="JG239" s="48"/>
      <c r="JH239" s="48"/>
      <c r="JI239" s="48"/>
      <c r="JJ239" s="48"/>
      <c r="JK239" s="48"/>
      <c r="JL239" s="48"/>
      <c r="JM239" s="48"/>
      <c r="JN239" s="48"/>
      <c r="JO239" s="48"/>
      <c r="JP239" s="48"/>
      <c r="JQ239" s="48"/>
      <c r="JR239" s="48"/>
      <c r="JS239" s="48"/>
      <c r="JT239" s="48"/>
      <c r="JU239" s="48"/>
      <c r="JV239" s="48"/>
      <c r="JW239" s="48"/>
      <c r="JX239" s="48"/>
      <c r="JY239" s="48"/>
      <c r="JZ239" s="48"/>
      <c r="KA239" s="48"/>
      <c r="KB239" s="48"/>
      <c r="KC239" s="48"/>
      <c r="KD239" s="48"/>
      <c r="KE239" s="48"/>
      <c r="KF239" s="48"/>
      <c r="KG239" s="48"/>
      <c r="KH239" s="48"/>
      <c r="KI239" s="48"/>
      <c r="KJ239" s="48"/>
      <c r="KK239" s="48"/>
      <c r="KL239" s="48"/>
      <c r="KM239" s="48"/>
      <c r="KN239" s="48"/>
      <c r="KO239" s="48"/>
      <c r="KP239" s="48"/>
      <c r="KQ239" s="48"/>
      <c r="KR239" s="48"/>
      <c r="KS239" s="48"/>
      <c r="KT239" s="48"/>
      <c r="KU239" s="48"/>
      <c r="KV239" s="48"/>
      <c r="KW239" s="48"/>
      <c r="KX239" s="48"/>
      <c r="KY239" s="48"/>
      <c r="KZ239" s="48"/>
      <c r="LA239" s="48"/>
      <c r="LB239" s="48"/>
      <c r="LC239" s="48"/>
      <c r="LD239" s="48"/>
      <c r="LE239" s="48"/>
      <c r="LF239" s="48"/>
      <c r="LG239" s="48"/>
      <c r="LH239" s="48"/>
      <c r="LI239" s="48"/>
      <c r="LJ239" s="48"/>
      <c r="LK239" s="48"/>
      <c r="LL239" s="48"/>
      <c r="LM239" s="48"/>
      <c r="LN239" s="48"/>
      <c r="LO239" s="48"/>
      <c r="LP239" s="48"/>
      <c r="LQ239" s="48"/>
      <c r="LR239" s="48"/>
      <c r="LS239" s="48"/>
      <c r="LT239" s="48"/>
      <c r="LU239" s="48"/>
      <c r="LV239" s="48"/>
      <c r="LW239" s="48"/>
      <c r="LX239" s="48"/>
      <c r="LY239" s="48"/>
      <c r="LZ239" s="48"/>
      <c r="MA239" s="48"/>
      <c r="MB239" s="48"/>
      <c r="MC239" s="48"/>
      <c r="MD239" s="48"/>
      <c r="ME239" s="48"/>
      <c r="MF239" s="48"/>
      <c r="MG239" s="48"/>
      <c r="MH239" s="48"/>
      <c r="MI239" s="48"/>
      <c r="MJ239" s="48"/>
      <c r="MK239" s="48"/>
      <c r="ML239" s="48"/>
      <c r="MM239" s="48"/>
      <c r="MN239" s="48"/>
      <c r="MO239" s="48"/>
      <c r="MP239" s="48"/>
      <c r="MQ239" s="48"/>
      <c r="MR239" s="48"/>
      <c r="MS239" s="48"/>
      <c r="MT239" s="48"/>
      <c r="MU239" s="48"/>
      <c r="MV239" s="48"/>
      <c r="MW239" s="48"/>
      <c r="MX239" s="48"/>
      <c r="MY239" s="48"/>
      <c r="MZ239" s="48"/>
      <c r="NA239" s="48"/>
      <c r="NB239" s="48"/>
      <c r="NC239" s="48"/>
      <c r="ND239" s="48"/>
      <c r="NE239" s="48"/>
      <c r="NF239" s="48"/>
      <c r="NG239" s="48"/>
      <c r="NH239" s="48"/>
      <c r="NI239" s="48"/>
      <c r="NJ239" s="48"/>
      <c r="NK239" s="48"/>
      <c r="NL239" s="48"/>
      <c r="NM239" s="48"/>
      <c r="NN239" s="48"/>
      <c r="NO239" s="48"/>
      <c r="NP239" s="48"/>
      <c r="NQ239" s="48"/>
      <c r="NR239" s="48"/>
      <c r="NS239" s="48"/>
      <c r="NT239" s="48"/>
      <c r="NU239" s="48"/>
      <c r="NV239" s="48"/>
      <c r="NW239" s="48"/>
      <c r="NX239" s="48"/>
      <c r="NY239" s="48"/>
      <c r="NZ239" s="48"/>
      <c r="OA239" s="48"/>
      <c r="OB239" s="48"/>
      <c r="OC239" s="48"/>
      <c r="OD239" s="48"/>
      <c r="OE239" s="48"/>
      <c r="OF239" s="48"/>
      <c r="OG239" s="48"/>
      <c r="OH239" s="48"/>
      <c r="OI239" s="48"/>
      <c r="OJ239" s="48"/>
      <c r="OK239" s="48"/>
      <c r="OL239" s="48"/>
      <c r="OM239" s="48"/>
      <c r="ON239" s="48"/>
      <c r="OO239" s="48"/>
      <c r="OP239" s="48"/>
      <c r="OQ239" s="48"/>
      <c r="OR239" s="48"/>
      <c r="OS239" s="48"/>
      <c r="OT239" s="48"/>
      <c r="OU239" s="48"/>
      <c r="OV239" s="48"/>
      <c r="OW239" s="48"/>
      <c r="OX239" s="48"/>
      <c r="OY239" s="48"/>
      <c r="OZ239" s="48"/>
      <c r="PA239" s="48"/>
      <c r="PB239" s="48"/>
      <c r="PC239" s="48"/>
      <c r="PD239" s="48"/>
      <c r="PE239" s="48"/>
      <c r="PF239" s="48"/>
      <c r="PG239" s="48"/>
      <c r="PH239" s="48"/>
      <c r="PI239" s="48"/>
      <c r="PJ239" s="48"/>
      <c r="PK239" s="48"/>
      <c r="PL239" s="48"/>
      <c r="PM239" s="48"/>
      <c r="PN239" s="48"/>
      <c r="PO239" s="48"/>
      <c r="PP239" s="48"/>
      <c r="PQ239" s="48"/>
      <c r="PR239" s="48"/>
      <c r="PS239" s="48"/>
      <c r="PT239" s="48"/>
      <c r="PU239" s="48"/>
      <c r="PV239" s="48"/>
      <c r="PW239" s="48"/>
      <c r="PX239" s="48"/>
      <c r="PY239" s="48"/>
      <c r="PZ239" s="48"/>
      <c r="QA239" s="48"/>
      <c r="QB239" s="48"/>
      <c r="QC239" s="48"/>
      <c r="QD239" s="48"/>
      <c r="QE239" s="48"/>
      <c r="QF239" s="48"/>
      <c r="QG239" s="48"/>
      <c r="QH239" s="48"/>
      <c r="QI239" s="48"/>
      <c r="QJ239" s="48"/>
      <c r="QK239" s="48"/>
      <c r="QL239" s="48"/>
      <c r="QM239" s="48"/>
      <c r="QN239" s="48"/>
      <c r="QO239" s="48"/>
      <c r="QP239" s="48"/>
      <c r="QQ239" s="48"/>
      <c r="QR239" s="48"/>
      <c r="QS239" s="48"/>
      <c r="QT239" s="48"/>
      <c r="QU239" s="48"/>
      <c r="QV239" s="48"/>
      <c r="QW239" s="48"/>
      <c r="QX239" s="48"/>
      <c r="QY239" s="48"/>
      <c r="QZ239" s="48"/>
      <c r="RA239" s="48"/>
      <c r="RB239" s="48"/>
      <c r="RC239" s="48"/>
      <c r="RD239" s="48"/>
      <c r="RE239" s="48"/>
      <c r="RF239" s="48"/>
      <c r="RG239" s="48"/>
      <c r="RH239" s="48"/>
      <c r="RI239" s="48"/>
      <c r="RJ239" s="48"/>
      <c r="RK239" s="48"/>
      <c r="RL239" s="48"/>
      <c r="RM239" s="48"/>
      <c r="RN239" s="48"/>
      <c r="RO239" s="48"/>
      <c r="RP239" s="48"/>
      <c r="RQ239" s="48"/>
      <c r="RR239" s="48"/>
      <c r="RS239" s="48"/>
      <c r="RT239" s="48"/>
      <c r="RU239" s="48"/>
      <c r="RV239" s="48"/>
      <c r="RW239" s="48"/>
      <c r="RX239" s="48"/>
      <c r="RY239" s="48"/>
      <c r="RZ239" s="48"/>
      <c r="SA239" s="48"/>
      <c r="SB239" s="48"/>
      <c r="SC239" s="48"/>
      <c r="SD239" s="48"/>
      <c r="SE239" s="48"/>
      <c r="SF239" s="48"/>
      <c r="SG239" s="48"/>
      <c r="SH239" s="48"/>
      <c r="SI239" s="48"/>
      <c r="SJ239" s="48"/>
      <c r="SK239" s="48"/>
      <c r="SL239" s="48"/>
      <c r="SM239" s="48"/>
      <c r="SN239" s="48"/>
      <c r="SO239" s="48"/>
      <c r="SP239" s="48"/>
      <c r="SQ239" s="48"/>
      <c r="SR239" s="48"/>
      <c r="SS239" s="48"/>
      <c r="ST239" s="48"/>
      <c r="SU239" s="48"/>
      <c r="SV239" s="48"/>
      <c r="SW239" s="48"/>
      <c r="SX239" s="48"/>
      <c r="SY239" s="48"/>
      <c r="SZ239" s="48"/>
      <c r="TA239" s="48"/>
      <c r="TB239" s="48"/>
      <c r="TC239" s="48"/>
      <c r="TD239" s="48"/>
      <c r="TE239" s="48"/>
      <c r="TF239" s="48"/>
      <c r="TG239" s="48"/>
      <c r="TH239" s="48"/>
      <c r="TI239" s="48"/>
      <c r="TJ239" s="48"/>
      <c r="TK239" s="48"/>
      <c r="TL239" s="48"/>
      <c r="TM239" s="48"/>
      <c r="TN239" s="48"/>
      <c r="TO239" s="48"/>
      <c r="TP239" s="48"/>
      <c r="TQ239" s="48"/>
      <c r="TR239" s="48"/>
      <c r="TS239" s="48"/>
      <c r="TT239" s="48"/>
      <c r="TU239" s="48"/>
      <c r="TV239" s="48"/>
      <c r="TW239" s="48"/>
      <c r="TX239" s="48"/>
      <c r="TY239" s="48"/>
      <c r="TZ239" s="48"/>
      <c r="UA239" s="48"/>
      <c r="UB239" s="48"/>
      <c r="UC239" s="48"/>
      <c r="UD239" s="48"/>
      <c r="UE239" s="48"/>
      <c r="UF239" s="48"/>
      <c r="UG239" s="48"/>
      <c r="UH239" s="48"/>
      <c r="UI239" s="48"/>
      <c r="UJ239" s="48"/>
      <c r="UK239" s="48"/>
      <c r="UL239" s="48"/>
      <c r="UM239" s="48"/>
      <c r="UN239" s="48"/>
      <c r="UO239" s="48"/>
      <c r="UP239" s="48"/>
      <c r="UQ239" s="48"/>
      <c r="UR239" s="48"/>
      <c r="US239" s="48"/>
      <c r="UT239" s="48"/>
      <c r="UU239" s="48"/>
      <c r="UV239" s="48"/>
      <c r="UW239" s="48"/>
      <c r="UX239" s="48"/>
      <c r="UY239" s="48"/>
      <c r="UZ239" s="48"/>
      <c r="VA239" s="48"/>
      <c r="VB239" s="48"/>
      <c r="VC239" s="48"/>
      <c r="VD239" s="48"/>
      <c r="VE239" s="48"/>
      <c r="VF239" s="48"/>
      <c r="VG239" s="48"/>
      <c r="VH239" s="48"/>
      <c r="VI239" s="48"/>
      <c r="VJ239" s="48"/>
      <c r="VK239" s="48"/>
      <c r="VL239" s="48"/>
      <c r="VM239" s="48"/>
      <c r="VN239" s="48"/>
      <c r="VO239" s="48"/>
      <c r="VP239" s="48"/>
      <c r="VQ239" s="48"/>
      <c r="VR239" s="48"/>
      <c r="VS239" s="48"/>
      <c r="VT239" s="48"/>
      <c r="VU239" s="48"/>
      <c r="VV239" s="48"/>
      <c r="VW239" s="48"/>
      <c r="VX239" s="48"/>
      <c r="VY239" s="48"/>
      <c r="VZ239" s="48"/>
      <c r="WA239" s="48"/>
      <c r="WB239" s="48"/>
      <c r="WC239" s="48"/>
      <c r="WD239" s="48"/>
      <c r="WE239" s="48"/>
      <c r="WF239" s="48"/>
      <c r="WG239" s="48"/>
      <c r="WH239" s="48"/>
      <c r="WI239" s="48"/>
      <c r="WJ239" s="48"/>
      <c r="WK239" s="48"/>
      <c r="WL239" s="48"/>
      <c r="WM239" s="48"/>
      <c r="WN239" s="48"/>
      <c r="WO239" s="48"/>
      <c r="WP239" s="48"/>
      <c r="WQ239" s="48"/>
      <c r="WR239" s="48"/>
      <c r="WS239" s="48"/>
      <c r="WT239" s="48"/>
      <c r="WU239" s="48"/>
      <c r="WV239" s="48"/>
      <c r="WW239" s="48"/>
      <c r="WX239" s="48"/>
      <c r="WY239" s="48"/>
      <c r="WZ239" s="48"/>
      <c r="XA239" s="48"/>
      <c r="XB239" s="48"/>
      <c r="XC239" s="48"/>
      <c r="XD239" s="48"/>
      <c r="XE239" s="48"/>
      <c r="XF239" s="48"/>
      <c r="XG239" s="48"/>
      <c r="XH239" s="48"/>
      <c r="XI239" s="48"/>
      <c r="XJ239" s="48"/>
      <c r="XK239" s="48"/>
      <c r="XL239" s="48"/>
      <c r="XM239" s="48"/>
      <c r="XN239" s="48"/>
      <c r="XO239" s="48"/>
      <c r="XP239" s="48"/>
      <c r="XQ239" s="48"/>
      <c r="XR239" s="48"/>
      <c r="XS239" s="48"/>
      <c r="XT239" s="48"/>
      <c r="XU239" s="48"/>
      <c r="XV239" s="48"/>
      <c r="XW239" s="48"/>
      <c r="XX239" s="48"/>
      <c r="XY239" s="48"/>
      <c r="XZ239" s="48"/>
      <c r="YA239" s="48"/>
      <c r="YB239" s="48"/>
      <c r="YC239" s="48"/>
      <c r="YD239" s="48"/>
      <c r="YE239" s="48"/>
      <c r="YF239" s="48"/>
      <c r="YG239" s="48"/>
      <c r="YH239" s="48"/>
      <c r="YI239" s="48"/>
      <c r="YJ239" s="48"/>
      <c r="YK239" s="48"/>
      <c r="YL239" s="48"/>
      <c r="YM239" s="48"/>
      <c r="YN239" s="48"/>
      <c r="YO239" s="48"/>
      <c r="YP239" s="48"/>
      <c r="YQ239" s="48"/>
      <c r="YR239" s="48"/>
      <c r="YS239" s="48"/>
      <c r="YT239" s="48"/>
      <c r="YU239" s="48"/>
      <c r="YV239" s="48"/>
      <c r="YW239" s="48"/>
      <c r="YX239" s="48"/>
      <c r="YY239" s="48"/>
      <c r="YZ239" s="48"/>
      <c r="ZA239" s="48"/>
      <c r="ZB239" s="48"/>
      <c r="ZC239" s="48"/>
      <c r="ZD239" s="48"/>
      <c r="ZE239" s="48"/>
      <c r="ZF239" s="48"/>
      <c r="ZG239" s="48"/>
      <c r="ZH239" s="48"/>
      <c r="ZI239" s="48"/>
      <c r="ZJ239" s="48"/>
      <c r="ZK239" s="48"/>
      <c r="ZL239" s="48"/>
      <c r="ZM239" s="48"/>
      <c r="ZN239" s="48"/>
      <c r="ZO239" s="48"/>
      <c r="ZP239" s="48"/>
      <c r="ZQ239" s="48"/>
      <c r="ZR239" s="48"/>
      <c r="ZS239" s="48"/>
      <c r="ZT239" s="48"/>
      <c r="ZU239" s="48"/>
      <c r="ZV239" s="48"/>
      <c r="ZW239" s="48"/>
      <c r="ZX239" s="48"/>
      <c r="ZY239" s="48"/>
      <c r="ZZ239" s="48"/>
      <c r="AAA239" s="48"/>
      <c r="AAB239" s="48"/>
      <c r="AAC239" s="48"/>
      <c r="AAD239" s="48"/>
      <c r="AAE239" s="48"/>
      <c r="AAF239" s="48"/>
      <c r="AAG239" s="48"/>
      <c r="AAH239" s="48"/>
      <c r="AAI239" s="48"/>
      <c r="AAJ239" s="48"/>
      <c r="AAK239" s="48"/>
      <c r="AAL239" s="48"/>
      <c r="AAM239" s="48"/>
      <c r="AAN239" s="48"/>
      <c r="AAO239" s="48"/>
      <c r="AAP239" s="48"/>
      <c r="AAQ239" s="48"/>
      <c r="AAR239" s="48"/>
      <c r="AAS239" s="48"/>
      <c r="AAT239" s="48"/>
      <c r="AAU239" s="48"/>
      <c r="AAV239" s="48"/>
      <c r="AAW239" s="48"/>
      <c r="AAX239" s="48"/>
      <c r="AAY239" s="48"/>
      <c r="AAZ239" s="48"/>
      <c r="ABA239" s="48"/>
      <c r="ABB239" s="48"/>
      <c r="ABC239" s="48"/>
      <c r="ABD239" s="48"/>
      <c r="ABE239" s="48"/>
      <c r="ABF239" s="48"/>
      <c r="ABG239" s="48"/>
      <c r="ABH239" s="48"/>
      <c r="ABI239" s="48"/>
      <c r="ABJ239" s="48"/>
      <c r="ABK239" s="48"/>
      <c r="ABL239" s="48"/>
      <c r="ABM239" s="48"/>
      <c r="ABN239" s="48"/>
      <c r="ABO239" s="48"/>
      <c r="ABP239" s="48"/>
      <c r="ABQ239" s="48"/>
      <c r="ABR239" s="48"/>
      <c r="ABS239" s="48"/>
      <c r="ABT239" s="48"/>
      <c r="ABU239" s="48"/>
      <c r="ABV239" s="48"/>
      <c r="ABW239" s="48"/>
      <c r="ABX239" s="48"/>
      <c r="ABY239" s="48"/>
      <c r="ABZ239" s="48"/>
      <c r="ACA239" s="48"/>
      <c r="ACB239" s="48"/>
      <c r="ACC239" s="48"/>
      <c r="ACD239" s="48"/>
      <c r="ACE239" s="48"/>
      <c r="ACF239" s="48"/>
      <c r="ACG239" s="48"/>
      <c r="ACH239" s="48"/>
      <c r="ACI239" s="48"/>
      <c r="ACJ239" s="48"/>
      <c r="ACK239" s="48"/>
      <c r="ACL239" s="48"/>
      <c r="ACM239" s="48"/>
      <c r="ACN239" s="48"/>
      <c r="ACO239" s="48"/>
      <c r="ACP239" s="48"/>
      <c r="ACQ239" s="48"/>
      <c r="ACR239" s="48"/>
      <c r="ACS239" s="48"/>
      <c r="ACT239" s="48"/>
      <c r="ACU239" s="48"/>
      <c r="ACV239" s="48"/>
      <c r="ACW239" s="48"/>
      <c r="ACX239" s="48"/>
      <c r="ACY239" s="48"/>
      <c r="ACZ239" s="48"/>
      <c r="ADA239" s="48"/>
      <c r="ADB239" s="48"/>
      <c r="ADC239" s="48"/>
      <c r="ADD239" s="48"/>
      <c r="ADE239" s="48"/>
      <c r="ADF239" s="48"/>
      <c r="ADG239" s="48"/>
      <c r="ADH239" s="48"/>
      <c r="ADI239" s="48"/>
      <c r="ADJ239" s="48"/>
      <c r="ADK239" s="48"/>
      <c r="ADL239" s="48"/>
      <c r="ADM239" s="48"/>
      <c r="ADN239" s="48"/>
      <c r="ADO239" s="48"/>
      <c r="ADP239" s="48"/>
      <c r="ADQ239" s="48"/>
      <c r="ADR239" s="48"/>
      <c r="ADS239" s="48"/>
      <c r="ADT239" s="48"/>
      <c r="ADU239" s="48"/>
      <c r="ADV239" s="48"/>
      <c r="ADW239" s="48"/>
      <c r="ADX239" s="48"/>
      <c r="ADY239" s="48"/>
      <c r="ADZ239" s="48"/>
      <c r="AEA239" s="48"/>
      <c r="AEB239" s="48"/>
      <c r="AEC239" s="48"/>
      <c r="AED239" s="48"/>
      <c r="AEE239" s="48"/>
      <c r="AEF239" s="48"/>
      <c r="AEG239" s="48"/>
      <c r="AEH239" s="48"/>
      <c r="AEI239" s="48"/>
      <c r="AEJ239" s="48"/>
      <c r="AEK239" s="48"/>
      <c r="AEL239" s="48"/>
      <c r="AEM239" s="48"/>
      <c r="AEN239" s="48"/>
      <c r="AEO239" s="48"/>
      <c r="AEP239" s="48"/>
      <c r="AEQ239" s="48"/>
      <c r="AER239" s="48"/>
      <c r="AES239" s="48"/>
      <c r="AET239" s="48"/>
      <c r="AEU239" s="48"/>
      <c r="AEV239" s="48"/>
      <c r="AEW239" s="48"/>
      <c r="AEX239" s="48"/>
      <c r="AEY239" s="48"/>
      <c r="AEZ239" s="48"/>
      <c r="AFA239" s="48"/>
      <c r="AFB239" s="48"/>
      <c r="AFC239" s="48"/>
      <c r="AFD239" s="48"/>
      <c r="AFE239" s="48"/>
      <c r="AFF239" s="48"/>
      <c r="AFG239" s="48"/>
      <c r="AFH239" s="48"/>
      <c r="AFI239" s="48"/>
      <c r="AFJ239" s="48"/>
      <c r="AFK239" s="48"/>
      <c r="AFL239" s="48"/>
      <c r="AFM239" s="48"/>
      <c r="AFN239" s="48"/>
      <c r="AFO239" s="48"/>
      <c r="AFP239" s="48"/>
      <c r="AFQ239" s="48"/>
      <c r="AFR239" s="48"/>
      <c r="AFS239" s="48"/>
      <c r="AFT239" s="48"/>
      <c r="AFU239" s="48"/>
      <c r="AFV239" s="48"/>
      <c r="AFW239" s="48"/>
      <c r="AFX239" s="48"/>
      <c r="AFY239" s="48"/>
      <c r="AFZ239" s="48"/>
      <c r="AGA239" s="48"/>
      <c r="AGB239" s="48"/>
      <c r="AGC239" s="48"/>
      <c r="AGD239" s="48"/>
      <c r="AGE239" s="48"/>
      <c r="AGF239" s="48"/>
      <c r="AGG239" s="48"/>
      <c r="AGH239" s="48"/>
      <c r="AGI239" s="48"/>
      <c r="AGJ239" s="48"/>
      <c r="AGK239" s="48"/>
      <c r="AGL239" s="48"/>
      <c r="AGM239" s="48"/>
      <c r="AGN239" s="48"/>
      <c r="AGO239" s="48"/>
      <c r="AGP239" s="48"/>
      <c r="AGQ239" s="48"/>
      <c r="AGR239" s="48"/>
      <c r="AGS239" s="48"/>
      <c r="AGT239" s="48"/>
      <c r="AGU239" s="48"/>
      <c r="AGV239" s="48"/>
      <c r="AGW239" s="48"/>
      <c r="AGX239" s="48"/>
      <c r="AGY239" s="48"/>
      <c r="AGZ239" s="48"/>
      <c r="AHA239" s="48"/>
      <c r="AHB239" s="48"/>
      <c r="AHC239" s="48"/>
      <c r="AHD239" s="48"/>
      <c r="AHE239" s="48"/>
      <c r="AHF239" s="48"/>
      <c r="AHG239" s="48"/>
      <c r="AHH239" s="48"/>
      <c r="AHI239" s="48"/>
      <c r="AHJ239" s="48"/>
      <c r="AHK239" s="48"/>
      <c r="AHL239" s="48"/>
      <c r="AHM239" s="48"/>
      <c r="AHN239" s="48"/>
      <c r="AHO239" s="48"/>
      <c r="AHP239" s="48"/>
      <c r="AHQ239" s="48"/>
      <c r="AHR239" s="48"/>
      <c r="AHS239" s="48"/>
      <c r="AHT239" s="48"/>
      <c r="AHU239" s="48"/>
      <c r="AHV239" s="48"/>
      <c r="AHW239" s="48"/>
      <c r="AHX239" s="48"/>
      <c r="AHY239" s="48"/>
      <c r="AHZ239" s="48"/>
      <c r="AIA239" s="48"/>
      <c r="AIB239" s="48"/>
      <c r="AIC239" s="48"/>
      <c r="AID239" s="48"/>
      <c r="AIE239" s="48"/>
      <c r="AIF239" s="48"/>
      <c r="AIG239" s="48"/>
      <c r="AIH239" s="48"/>
      <c r="AII239" s="48"/>
      <c r="AIJ239" s="48"/>
      <c r="AIK239" s="48"/>
      <c r="AIL239" s="48"/>
      <c r="AIM239" s="48"/>
      <c r="AIN239" s="48"/>
      <c r="AIO239" s="48"/>
      <c r="AIP239" s="48"/>
      <c r="AIQ239" s="48"/>
      <c r="AIR239" s="48"/>
      <c r="AIS239" s="48"/>
      <c r="AIT239" s="48"/>
      <c r="AIU239" s="48"/>
      <c r="AIV239" s="48"/>
      <c r="AIW239" s="48"/>
      <c r="AIX239" s="48"/>
      <c r="AIY239" s="48"/>
      <c r="AIZ239" s="48"/>
      <c r="AJA239" s="48"/>
      <c r="AJB239" s="48"/>
      <c r="AJC239" s="48"/>
      <c r="AJD239" s="48"/>
      <c r="AJE239" s="48"/>
      <c r="AJF239" s="48"/>
      <c r="AJG239" s="48"/>
      <c r="AJH239" s="48"/>
      <c r="AJI239" s="48"/>
      <c r="AJJ239" s="48"/>
      <c r="AJK239" s="48"/>
      <c r="AJL239" s="48"/>
      <c r="AJM239" s="48"/>
      <c r="AJN239" s="48"/>
      <c r="AJO239" s="48"/>
      <c r="AJP239" s="48"/>
      <c r="AJQ239" s="48"/>
      <c r="AJR239" s="48"/>
      <c r="AJS239" s="48"/>
      <c r="AJT239" s="48"/>
      <c r="AJU239" s="48"/>
      <c r="AJV239" s="48"/>
      <c r="AJW239" s="48"/>
      <c r="AJX239" s="48"/>
      <c r="AJY239" s="48"/>
      <c r="AJZ239" s="48"/>
      <c r="AKA239" s="48"/>
      <c r="AKB239" s="48"/>
      <c r="AKC239" s="48"/>
      <c r="AKD239" s="48"/>
      <c r="AKE239" s="48"/>
      <c r="AKF239" s="48"/>
      <c r="AKG239" s="48"/>
      <c r="AKH239" s="48"/>
      <c r="AKI239" s="48"/>
      <c r="AKJ239" s="48"/>
      <c r="AKK239" s="48"/>
      <c r="AKL239" s="48"/>
      <c r="AKM239" s="48"/>
      <c r="AKN239" s="48"/>
      <c r="AKO239" s="48"/>
      <c r="AKP239" s="48"/>
      <c r="AKQ239" s="48"/>
      <c r="AKR239" s="48"/>
      <c r="AKS239" s="48"/>
      <c r="AKT239" s="48"/>
      <c r="AKU239" s="48"/>
      <c r="AKV239" s="48"/>
      <c r="AKW239" s="48"/>
      <c r="AKX239" s="48"/>
      <c r="AKY239" s="48"/>
      <c r="AKZ239" s="48"/>
      <c r="ALA239" s="48"/>
      <c r="ALB239" s="48"/>
      <c r="ALC239" s="48"/>
      <c r="ALD239" s="48"/>
      <c r="ALE239" s="48"/>
      <c r="ALF239" s="48"/>
      <c r="ALG239" s="48"/>
      <c r="ALH239" s="48"/>
      <c r="ALI239" s="48"/>
      <c r="ALJ239" s="48"/>
      <c r="ALK239" s="48"/>
      <c r="ALL239" s="48"/>
      <c r="ALM239" s="48"/>
      <c r="ALN239" s="48"/>
      <c r="ALO239" s="48"/>
      <c r="ALP239" s="48"/>
      <c r="ALQ239" s="48"/>
      <c r="ALR239" s="48"/>
      <c r="ALS239" s="48"/>
      <c r="ALT239" s="48"/>
      <c r="ALU239" s="48"/>
      <c r="ALV239" s="48"/>
      <c r="ALW239" s="48"/>
      <c r="ALX239" s="48"/>
      <c r="ALY239" s="48"/>
      <c r="ALZ239" s="48"/>
      <c r="AMA239" s="48"/>
      <c r="AMB239" s="48"/>
      <c r="AMC239" s="48"/>
      <c r="AMD239" s="48"/>
      <c r="AME239" s="48"/>
      <c r="AMF239" s="48"/>
      <c r="AMG239" s="48"/>
      <c r="AMH239" s="48"/>
      <c r="AMI239" s="48"/>
      <c r="AMJ239" s="48"/>
      <c r="AMK239" s="48"/>
    </row>
    <row r="240" spans="1:1025" s="80" customFormat="1" x14ac:dyDescent="0.25">
      <c r="A240" s="140" t="s">
        <v>558</v>
      </c>
      <c r="B240" s="54" t="s">
        <v>230</v>
      </c>
      <c r="C240" s="55">
        <v>0.98980000000000001</v>
      </c>
      <c r="D240" s="55">
        <v>9.9842399999999998</v>
      </c>
      <c r="E240" s="55">
        <v>8.3633199999999999</v>
      </c>
      <c r="F240" s="55">
        <v>127.27064</v>
      </c>
      <c r="G240" s="55">
        <v>26.518799999999999</v>
      </c>
      <c r="H240" s="55">
        <v>15.591799999999999</v>
      </c>
      <c r="I240" s="55">
        <v>1.55036</v>
      </c>
      <c r="J240" s="55">
        <v>9.11</v>
      </c>
      <c r="K240" s="120" t="s">
        <v>231</v>
      </c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  <c r="BH240" s="48"/>
      <c r="BI240" s="48"/>
      <c r="BJ240" s="48"/>
      <c r="BK240" s="48"/>
      <c r="BL240" s="48"/>
      <c r="BM240" s="48"/>
      <c r="BN240" s="48"/>
      <c r="BO240" s="48"/>
      <c r="BP240" s="48"/>
      <c r="BQ240" s="48"/>
      <c r="BR240" s="48"/>
      <c r="BS240" s="48"/>
      <c r="BT240" s="48"/>
      <c r="BU240" s="48"/>
      <c r="BV240" s="48"/>
      <c r="BW240" s="48"/>
      <c r="BX240" s="48"/>
      <c r="BY240" s="48"/>
      <c r="BZ240" s="48"/>
      <c r="CA240" s="48"/>
      <c r="CB240" s="48"/>
      <c r="CC240" s="48"/>
      <c r="CD240" s="48"/>
      <c r="CE240" s="48"/>
      <c r="CF240" s="48"/>
      <c r="CG240" s="48"/>
      <c r="CH240" s="48"/>
      <c r="CI240" s="48"/>
      <c r="CJ240" s="48"/>
      <c r="CK240" s="48"/>
      <c r="CL240" s="48"/>
      <c r="CM240" s="48"/>
      <c r="CN240" s="48"/>
      <c r="CO240" s="48"/>
      <c r="CP240" s="48"/>
      <c r="CQ240" s="48"/>
      <c r="CR240" s="48"/>
      <c r="CS240" s="48"/>
      <c r="CT240" s="48"/>
      <c r="CU240" s="48"/>
      <c r="CV240" s="48"/>
      <c r="CW240" s="48"/>
      <c r="CX240" s="48"/>
      <c r="CY240" s="48"/>
      <c r="CZ240" s="48"/>
      <c r="DA240" s="48"/>
      <c r="DB240" s="48"/>
      <c r="DC240" s="48"/>
      <c r="DD240" s="48"/>
      <c r="DE240" s="48"/>
      <c r="DF240" s="48"/>
      <c r="DG240" s="48"/>
      <c r="DH240" s="48"/>
      <c r="DI240" s="48"/>
      <c r="DJ240" s="48"/>
      <c r="DK240" s="48"/>
      <c r="DL240" s="48"/>
      <c r="DM240" s="48"/>
      <c r="DN240" s="48"/>
      <c r="DO240" s="48"/>
      <c r="DP240" s="48"/>
      <c r="DQ240" s="48"/>
      <c r="DR240" s="48"/>
      <c r="DS240" s="48"/>
      <c r="DT240" s="48"/>
      <c r="DU240" s="48"/>
      <c r="DV240" s="48"/>
      <c r="DW240" s="48"/>
      <c r="DX240" s="48"/>
      <c r="DY240" s="48"/>
      <c r="DZ240" s="48"/>
      <c r="EA240" s="48"/>
      <c r="EB240" s="48"/>
      <c r="EC240" s="48"/>
      <c r="ED240" s="48"/>
      <c r="EE240" s="48"/>
      <c r="EF240" s="48"/>
      <c r="EG240" s="48"/>
      <c r="EH240" s="48"/>
      <c r="EI240" s="48"/>
      <c r="EJ240" s="48"/>
      <c r="EK240" s="48"/>
      <c r="EL240" s="48"/>
      <c r="EM240" s="48"/>
      <c r="EN240" s="48"/>
      <c r="EO240" s="48"/>
      <c r="EP240" s="48"/>
      <c r="EQ240" s="48"/>
      <c r="ER240" s="48"/>
      <c r="ES240" s="48"/>
      <c r="ET240" s="48"/>
      <c r="EU240" s="48"/>
      <c r="EV240" s="48"/>
      <c r="EW240" s="48"/>
      <c r="EX240" s="48"/>
      <c r="EY240" s="48"/>
      <c r="EZ240" s="48"/>
      <c r="FA240" s="48"/>
      <c r="FB240" s="48"/>
      <c r="FC240" s="48"/>
      <c r="FD240" s="48"/>
      <c r="FE240" s="48"/>
      <c r="FF240" s="48"/>
      <c r="FG240" s="48"/>
      <c r="FH240" s="48"/>
      <c r="FI240" s="48"/>
      <c r="FJ240" s="48"/>
      <c r="FK240" s="48"/>
      <c r="FL240" s="48"/>
      <c r="FM240" s="48"/>
      <c r="FN240" s="48"/>
      <c r="FO240" s="48"/>
      <c r="FP240" s="48"/>
      <c r="FQ240" s="48"/>
      <c r="FR240" s="48"/>
      <c r="FS240" s="48"/>
      <c r="FT240" s="48"/>
      <c r="FU240" s="48"/>
      <c r="FV240" s="48"/>
      <c r="FW240" s="48"/>
      <c r="FX240" s="48"/>
      <c r="FY240" s="48"/>
      <c r="FZ240" s="48"/>
      <c r="GA240" s="48"/>
      <c r="GB240" s="48"/>
      <c r="GC240" s="48"/>
      <c r="GD240" s="48"/>
      <c r="GE240" s="48"/>
      <c r="GF240" s="48"/>
      <c r="GG240" s="48"/>
      <c r="GH240" s="48"/>
      <c r="GI240" s="48"/>
      <c r="GJ240" s="48"/>
      <c r="GK240" s="48"/>
      <c r="GL240" s="48"/>
      <c r="GM240" s="48"/>
      <c r="GN240" s="48"/>
      <c r="GO240" s="48"/>
      <c r="GP240" s="48"/>
      <c r="GQ240" s="48"/>
      <c r="GR240" s="48"/>
      <c r="GS240" s="48"/>
      <c r="GT240" s="48"/>
      <c r="GU240" s="48"/>
      <c r="GV240" s="48"/>
      <c r="GW240" s="48"/>
      <c r="GX240" s="48"/>
      <c r="GY240" s="48"/>
      <c r="GZ240" s="48"/>
      <c r="HA240" s="48"/>
      <c r="HB240" s="48"/>
      <c r="HC240" s="48"/>
      <c r="HD240" s="48"/>
      <c r="HE240" s="48"/>
      <c r="HF240" s="48"/>
      <c r="HG240" s="48"/>
      <c r="HH240" s="48"/>
      <c r="HI240" s="48"/>
      <c r="HJ240" s="48"/>
      <c r="HK240" s="48"/>
      <c r="HL240" s="48"/>
      <c r="HM240" s="48"/>
      <c r="HN240" s="48"/>
      <c r="HO240" s="48"/>
      <c r="HP240" s="48"/>
      <c r="HQ240" s="48"/>
      <c r="HR240" s="48"/>
      <c r="HS240" s="48"/>
      <c r="HT240" s="48"/>
      <c r="HU240" s="48"/>
      <c r="HV240" s="48"/>
      <c r="HW240" s="48"/>
      <c r="HX240" s="48"/>
      <c r="HY240" s="48"/>
      <c r="HZ240" s="48"/>
      <c r="IA240" s="48"/>
      <c r="IB240" s="48"/>
      <c r="IC240" s="48"/>
      <c r="ID240" s="48"/>
      <c r="IE240" s="48"/>
      <c r="IF240" s="48"/>
      <c r="IG240" s="48"/>
      <c r="IH240" s="48"/>
      <c r="II240" s="48"/>
      <c r="IJ240" s="48"/>
      <c r="IK240" s="48"/>
      <c r="IL240" s="48"/>
      <c r="IM240" s="48"/>
      <c r="IN240" s="48"/>
      <c r="IO240" s="48"/>
      <c r="IP240" s="48"/>
      <c r="IQ240" s="48"/>
      <c r="IR240" s="48"/>
      <c r="IS240" s="48"/>
      <c r="IT240" s="48"/>
      <c r="IU240" s="48"/>
      <c r="IV240" s="48"/>
      <c r="IW240" s="48"/>
      <c r="IX240" s="48"/>
      <c r="IY240" s="48"/>
      <c r="IZ240" s="48"/>
      <c r="JA240" s="48"/>
      <c r="JB240" s="48"/>
      <c r="JC240" s="48"/>
      <c r="JD240" s="48"/>
      <c r="JE240" s="48"/>
      <c r="JF240" s="48"/>
      <c r="JG240" s="48"/>
      <c r="JH240" s="48"/>
      <c r="JI240" s="48"/>
      <c r="JJ240" s="48"/>
      <c r="JK240" s="48"/>
      <c r="JL240" s="48"/>
      <c r="JM240" s="48"/>
      <c r="JN240" s="48"/>
      <c r="JO240" s="48"/>
      <c r="JP240" s="48"/>
      <c r="JQ240" s="48"/>
      <c r="JR240" s="48"/>
      <c r="JS240" s="48"/>
      <c r="JT240" s="48"/>
      <c r="JU240" s="48"/>
      <c r="JV240" s="48"/>
      <c r="JW240" s="48"/>
      <c r="JX240" s="48"/>
      <c r="JY240" s="48"/>
      <c r="JZ240" s="48"/>
      <c r="KA240" s="48"/>
      <c r="KB240" s="48"/>
      <c r="KC240" s="48"/>
      <c r="KD240" s="48"/>
      <c r="KE240" s="48"/>
      <c r="KF240" s="48"/>
      <c r="KG240" s="48"/>
      <c r="KH240" s="48"/>
      <c r="KI240" s="48"/>
      <c r="KJ240" s="48"/>
      <c r="KK240" s="48"/>
      <c r="KL240" s="48"/>
      <c r="KM240" s="48"/>
      <c r="KN240" s="48"/>
      <c r="KO240" s="48"/>
      <c r="KP240" s="48"/>
      <c r="KQ240" s="48"/>
      <c r="KR240" s="48"/>
      <c r="KS240" s="48"/>
      <c r="KT240" s="48"/>
      <c r="KU240" s="48"/>
      <c r="KV240" s="48"/>
      <c r="KW240" s="48"/>
      <c r="KX240" s="48"/>
      <c r="KY240" s="48"/>
      <c r="KZ240" s="48"/>
      <c r="LA240" s="48"/>
      <c r="LB240" s="48"/>
      <c r="LC240" s="48"/>
      <c r="LD240" s="48"/>
      <c r="LE240" s="48"/>
      <c r="LF240" s="48"/>
      <c r="LG240" s="48"/>
      <c r="LH240" s="48"/>
      <c r="LI240" s="48"/>
      <c r="LJ240" s="48"/>
      <c r="LK240" s="48"/>
      <c r="LL240" s="48"/>
      <c r="LM240" s="48"/>
      <c r="LN240" s="48"/>
      <c r="LO240" s="48"/>
      <c r="LP240" s="48"/>
      <c r="LQ240" s="48"/>
      <c r="LR240" s="48"/>
      <c r="LS240" s="48"/>
      <c r="LT240" s="48"/>
      <c r="LU240" s="48"/>
      <c r="LV240" s="48"/>
      <c r="LW240" s="48"/>
      <c r="LX240" s="48"/>
      <c r="LY240" s="48"/>
      <c r="LZ240" s="48"/>
      <c r="MA240" s="48"/>
      <c r="MB240" s="48"/>
      <c r="MC240" s="48"/>
      <c r="MD240" s="48"/>
      <c r="ME240" s="48"/>
      <c r="MF240" s="48"/>
      <c r="MG240" s="48"/>
      <c r="MH240" s="48"/>
      <c r="MI240" s="48"/>
      <c r="MJ240" s="48"/>
      <c r="MK240" s="48"/>
      <c r="ML240" s="48"/>
      <c r="MM240" s="48"/>
      <c r="MN240" s="48"/>
      <c r="MO240" s="48"/>
      <c r="MP240" s="48"/>
      <c r="MQ240" s="48"/>
      <c r="MR240" s="48"/>
      <c r="MS240" s="48"/>
      <c r="MT240" s="48"/>
      <c r="MU240" s="48"/>
      <c r="MV240" s="48"/>
      <c r="MW240" s="48"/>
      <c r="MX240" s="48"/>
      <c r="MY240" s="48"/>
      <c r="MZ240" s="48"/>
      <c r="NA240" s="48"/>
      <c r="NB240" s="48"/>
      <c r="NC240" s="48"/>
      <c r="ND240" s="48"/>
      <c r="NE240" s="48"/>
      <c r="NF240" s="48"/>
      <c r="NG240" s="48"/>
      <c r="NH240" s="48"/>
      <c r="NI240" s="48"/>
      <c r="NJ240" s="48"/>
      <c r="NK240" s="48"/>
      <c r="NL240" s="48"/>
      <c r="NM240" s="48"/>
      <c r="NN240" s="48"/>
      <c r="NO240" s="48"/>
      <c r="NP240" s="48"/>
      <c r="NQ240" s="48"/>
      <c r="NR240" s="48"/>
      <c r="NS240" s="48"/>
      <c r="NT240" s="48"/>
      <c r="NU240" s="48"/>
      <c r="NV240" s="48"/>
      <c r="NW240" s="48"/>
      <c r="NX240" s="48"/>
      <c r="NY240" s="48"/>
      <c r="NZ240" s="48"/>
      <c r="OA240" s="48"/>
      <c r="OB240" s="48"/>
      <c r="OC240" s="48"/>
      <c r="OD240" s="48"/>
      <c r="OE240" s="48"/>
      <c r="OF240" s="48"/>
      <c r="OG240" s="48"/>
      <c r="OH240" s="48"/>
      <c r="OI240" s="48"/>
      <c r="OJ240" s="48"/>
      <c r="OK240" s="48"/>
      <c r="OL240" s="48"/>
      <c r="OM240" s="48"/>
      <c r="ON240" s="48"/>
      <c r="OO240" s="48"/>
      <c r="OP240" s="48"/>
      <c r="OQ240" s="48"/>
      <c r="OR240" s="48"/>
      <c r="OS240" s="48"/>
      <c r="OT240" s="48"/>
      <c r="OU240" s="48"/>
      <c r="OV240" s="48"/>
      <c r="OW240" s="48"/>
      <c r="OX240" s="48"/>
      <c r="OY240" s="48"/>
      <c r="OZ240" s="48"/>
      <c r="PA240" s="48"/>
      <c r="PB240" s="48"/>
      <c r="PC240" s="48"/>
      <c r="PD240" s="48"/>
      <c r="PE240" s="48"/>
      <c r="PF240" s="48"/>
      <c r="PG240" s="48"/>
      <c r="PH240" s="48"/>
      <c r="PI240" s="48"/>
      <c r="PJ240" s="48"/>
      <c r="PK240" s="48"/>
      <c r="PL240" s="48"/>
      <c r="PM240" s="48"/>
      <c r="PN240" s="48"/>
      <c r="PO240" s="48"/>
      <c r="PP240" s="48"/>
      <c r="PQ240" s="48"/>
      <c r="PR240" s="48"/>
      <c r="PS240" s="48"/>
      <c r="PT240" s="48"/>
      <c r="PU240" s="48"/>
      <c r="PV240" s="48"/>
      <c r="PW240" s="48"/>
      <c r="PX240" s="48"/>
      <c r="PY240" s="48"/>
      <c r="PZ240" s="48"/>
      <c r="QA240" s="48"/>
      <c r="QB240" s="48"/>
      <c r="QC240" s="48"/>
      <c r="QD240" s="48"/>
      <c r="QE240" s="48"/>
      <c r="QF240" s="48"/>
      <c r="QG240" s="48"/>
      <c r="QH240" s="48"/>
      <c r="QI240" s="48"/>
      <c r="QJ240" s="48"/>
      <c r="QK240" s="48"/>
      <c r="QL240" s="48"/>
      <c r="QM240" s="48"/>
      <c r="QN240" s="48"/>
      <c r="QO240" s="48"/>
      <c r="QP240" s="48"/>
      <c r="QQ240" s="48"/>
      <c r="QR240" s="48"/>
      <c r="QS240" s="48"/>
      <c r="QT240" s="48"/>
      <c r="QU240" s="48"/>
      <c r="QV240" s="48"/>
      <c r="QW240" s="48"/>
      <c r="QX240" s="48"/>
      <c r="QY240" s="48"/>
      <c r="QZ240" s="48"/>
      <c r="RA240" s="48"/>
      <c r="RB240" s="48"/>
      <c r="RC240" s="48"/>
      <c r="RD240" s="48"/>
      <c r="RE240" s="48"/>
      <c r="RF240" s="48"/>
      <c r="RG240" s="48"/>
      <c r="RH240" s="48"/>
      <c r="RI240" s="48"/>
      <c r="RJ240" s="48"/>
      <c r="RK240" s="48"/>
      <c r="RL240" s="48"/>
      <c r="RM240" s="48"/>
      <c r="RN240" s="48"/>
      <c r="RO240" s="48"/>
      <c r="RP240" s="48"/>
      <c r="RQ240" s="48"/>
      <c r="RR240" s="48"/>
      <c r="RS240" s="48"/>
      <c r="RT240" s="48"/>
      <c r="RU240" s="48"/>
      <c r="RV240" s="48"/>
      <c r="RW240" s="48"/>
      <c r="RX240" s="48"/>
      <c r="RY240" s="48"/>
      <c r="RZ240" s="48"/>
      <c r="SA240" s="48"/>
      <c r="SB240" s="48"/>
      <c r="SC240" s="48"/>
      <c r="SD240" s="48"/>
      <c r="SE240" s="48"/>
      <c r="SF240" s="48"/>
      <c r="SG240" s="48"/>
      <c r="SH240" s="48"/>
      <c r="SI240" s="48"/>
      <c r="SJ240" s="48"/>
      <c r="SK240" s="48"/>
      <c r="SL240" s="48"/>
      <c r="SM240" s="48"/>
      <c r="SN240" s="48"/>
      <c r="SO240" s="48"/>
      <c r="SP240" s="48"/>
      <c r="SQ240" s="48"/>
      <c r="SR240" s="48"/>
      <c r="SS240" s="48"/>
      <c r="ST240" s="48"/>
      <c r="SU240" s="48"/>
      <c r="SV240" s="48"/>
      <c r="SW240" s="48"/>
      <c r="SX240" s="48"/>
      <c r="SY240" s="48"/>
      <c r="SZ240" s="48"/>
      <c r="TA240" s="48"/>
      <c r="TB240" s="48"/>
      <c r="TC240" s="48"/>
      <c r="TD240" s="48"/>
      <c r="TE240" s="48"/>
      <c r="TF240" s="48"/>
      <c r="TG240" s="48"/>
      <c r="TH240" s="48"/>
      <c r="TI240" s="48"/>
      <c r="TJ240" s="48"/>
      <c r="TK240" s="48"/>
      <c r="TL240" s="48"/>
      <c r="TM240" s="48"/>
      <c r="TN240" s="48"/>
      <c r="TO240" s="48"/>
      <c r="TP240" s="48"/>
      <c r="TQ240" s="48"/>
      <c r="TR240" s="48"/>
      <c r="TS240" s="48"/>
      <c r="TT240" s="48"/>
      <c r="TU240" s="48"/>
      <c r="TV240" s="48"/>
      <c r="TW240" s="48"/>
      <c r="TX240" s="48"/>
      <c r="TY240" s="48"/>
      <c r="TZ240" s="48"/>
      <c r="UA240" s="48"/>
      <c r="UB240" s="48"/>
      <c r="UC240" s="48"/>
      <c r="UD240" s="48"/>
      <c r="UE240" s="48"/>
      <c r="UF240" s="48"/>
      <c r="UG240" s="48"/>
      <c r="UH240" s="48"/>
      <c r="UI240" s="48"/>
      <c r="UJ240" s="48"/>
      <c r="UK240" s="48"/>
      <c r="UL240" s="48"/>
      <c r="UM240" s="48"/>
      <c r="UN240" s="48"/>
      <c r="UO240" s="48"/>
      <c r="UP240" s="48"/>
      <c r="UQ240" s="48"/>
      <c r="UR240" s="48"/>
      <c r="US240" s="48"/>
      <c r="UT240" s="48"/>
      <c r="UU240" s="48"/>
      <c r="UV240" s="48"/>
      <c r="UW240" s="48"/>
      <c r="UX240" s="48"/>
      <c r="UY240" s="48"/>
      <c r="UZ240" s="48"/>
      <c r="VA240" s="48"/>
      <c r="VB240" s="48"/>
      <c r="VC240" s="48"/>
      <c r="VD240" s="48"/>
      <c r="VE240" s="48"/>
      <c r="VF240" s="48"/>
      <c r="VG240" s="48"/>
      <c r="VH240" s="48"/>
      <c r="VI240" s="48"/>
      <c r="VJ240" s="48"/>
      <c r="VK240" s="48"/>
      <c r="VL240" s="48"/>
      <c r="VM240" s="48"/>
      <c r="VN240" s="48"/>
      <c r="VO240" s="48"/>
      <c r="VP240" s="48"/>
      <c r="VQ240" s="48"/>
      <c r="VR240" s="48"/>
      <c r="VS240" s="48"/>
      <c r="VT240" s="48"/>
      <c r="VU240" s="48"/>
      <c r="VV240" s="48"/>
      <c r="VW240" s="48"/>
      <c r="VX240" s="48"/>
      <c r="VY240" s="48"/>
      <c r="VZ240" s="48"/>
      <c r="WA240" s="48"/>
      <c r="WB240" s="48"/>
      <c r="WC240" s="48"/>
      <c r="WD240" s="48"/>
      <c r="WE240" s="48"/>
      <c r="WF240" s="48"/>
      <c r="WG240" s="48"/>
      <c r="WH240" s="48"/>
      <c r="WI240" s="48"/>
      <c r="WJ240" s="48"/>
      <c r="WK240" s="48"/>
      <c r="WL240" s="48"/>
      <c r="WM240" s="48"/>
      <c r="WN240" s="48"/>
      <c r="WO240" s="48"/>
      <c r="WP240" s="48"/>
      <c r="WQ240" s="48"/>
      <c r="WR240" s="48"/>
      <c r="WS240" s="48"/>
      <c r="WT240" s="48"/>
      <c r="WU240" s="48"/>
      <c r="WV240" s="48"/>
      <c r="WW240" s="48"/>
      <c r="WX240" s="48"/>
      <c r="WY240" s="48"/>
      <c r="WZ240" s="48"/>
      <c r="XA240" s="48"/>
      <c r="XB240" s="48"/>
      <c r="XC240" s="48"/>
      <c r="XD240" s="48"/>
      <c r="XE240" s="48"/>
      <c r="XF240" s="48"/>
      <c r="XG240" s="48"/>
      <c r="XH240" s="48"/>
      <c r="XI240" s="48"/>
      <c r="XJ240" s="48"/>
      <c r="XK240" s="48"/>
      <c r="XL240" s="48"/>
      <c r="XM240" s="48"/>
      <c r="XN240" s="48"/>
      <c r="XO240" s="48"/>
      <c r="XP240" s="48"/>
      <c r="XQ240" s="48"/>
      <c r="XR240" s="48"/>
      <c r="XS240" s="48"/>
      <c r="XT240" s="48"/>
      <c r="XU240" s="48"/>
      <c r="XV240" s="48"/>
      <c r="XW240" s="48"/>
      <c r="XX240" s="48"/>
      <c r="XY240" s="48"/>
      <c r="XZ240" s="48"/>
      <c r="YA240" s="48"/>
      <c r="YB240" s="48"/>
      <c r="YC240" s="48"/>
      <c r="YD240" s="48"/>
      <c r="YE240" s="48"/>
      <c r="YF240" s="48"/>
      <c r="YG240" s="48"/>
      <c r="YH240" s="48"/>
      <c r="YI240" s="48"/>
      <c r="YJ240" s="48"/>
      <c r="YK240" s="48"/>
      <c r="YL240" s="48"/>
      <c r="YM240" s="48"/>
      <c r="YN240" s="48"/>
      <c r="YO240" s="48"/>
      <c r="YP240" s="48"/>
      <c r="YQ240" s="48"/>
      <c r="YR240" s="48"/>
      <c r="YS240" s="48"/>
      <c r="YT240" s="48"/>
      <c r="YU240" s="48"/>
      <c r="YV240" s="48"/>
      <c r="YW240" s="48"/>
      <c r="YX240" s="48"/>
      <c r="YY240" s="48"/>
      <c r="YZ240" s="48"/>
      <c r="ZA240" s="48"/>
      <c r="ZB240" s="48"/>
      <c r="ZC240" s="48"/>
      <c r="ZD240" s="48"/>
      <c r="ZE240" s="48"/>
      <c r="ZF240" s="48"/>
      <c r="ZG240" s="48"/>
      <c r="ZH240" s="48"/>
      <c r="ZI240" s="48"/>
      <c r="ZJ240" s="48"/>
      <c r="ZK240" s="48"/>
      <c r="ZL240" s="48"/>
      <c r="ZM240" s="48"/>
      <c r="ZN240" s="48"/>
      <c r="ZO240" s="48"/>
      <c r="ZP240" s="48"/>
      <c r="ZQ240" s="48"/>
      <c r="ZR240" s="48"/>
      <c r="ZS240" s="48"/>
      <c r="ZT240" s="48"/>
      <c r="ZU240" s="48"/>
      <c r="ZV240" s="48"/>
      <c r="ZW240" s="48"/>
      <c r="ZX240" s="48"/>
      <c r="ZY240" s="48"/>
      <c r="ZZ240" s="48"/>
      <c r="AAA240" s="48"/>
      <c r="AAB240" s="48"/>
      <c r="AAC240" s="48"/>
      <c r="AAD240" s="48"/>
      <c r="AAE240" s="48"/>
      <c r="AAF240" s="48"/>
      <c r="AAG240" s="48"/>
      <c r="AAH240" s="48"/>
      <c r="AAI240" s="48"/>
      <c r="AAJ240" s="48"/>
      <c r="AAK240" s="48"/>
      <c r="AAL240" s="48"/>
      <c r="AAM240" s="48"/>
      <c r="AAN240" s="48"/>
      <c r="AAO240" s="48"/>
      <c r="AAP240" s="48"/>
      <c r="AAQ240" s="48"/>
      <c r="AAR240" s="48"/>
      <c r="AAS240" s="48"/>
      <c r="AAT240" s="48"/>
      <c r="AAU240" s="48"/>
      <c r="AAV240" s="48"/>
      <c r="AAW240" s="48"/>
      <c r="AAX240" s="48"/>
      <c r="AAY240" s="48"/>
      <c r="AAZ240" s="48"/>
      <c r="ABA240" s="48"/>
      <c r="ABB240" s="48"/>
      <c r="ABC240" s="48"/>
      <c r="ABD240" s="48"/>
      <c r="ABE240" s="48"/>
      <c r="ABF240" s="48"/>
      <c r="ABG240" s="48"/>
      <c r="ABH240" s="48"/>
      <c r="ABI240" s="48"/>
      <c r="ABJ240" s="48"/>
      <c r="ABK240" s="48"/>
      <c r="ABL240" s="48"/>
      <c r="ABM240" s="48"/>
      <c r="ABN240" s="48"/>
      <c r="ABO240" s="48"/>
      <c r="ABP240" s="48"/>
      <c r="ABQ240" s="48"/>
      <c r="ABR240" s="48"/>
      <c r="ABS240" s="48"/>
      <c r="ABT240" s="48"/>
      <c r="ABU240" s="48"/>
      <c r="ABV240" s="48"/>
      <c r="ABW240" s="48"/>
      <c r="ABX240" s="48"/>
      <c r="ABY240" s="48"/>
      <c r="ABZ240" s="48"/>
      <c r="ACA240" s="48"/>
      <c r="ACB240" s="48"/>
      <c r="ACC240" s="48"/>
      <c r="ACD240" s="48"/>
      <c r="ACE240" s="48"/>
      <c r="ACF240" s="48"/>
      <c r="ACG240" s="48"/>
      <c r="ACH240" s="48"/>
      <c r="ACI240" s="48"/>
      <c r="ACJ240" s="48"/>
      <c r="ACK240" s="48"/>
      <c r="ACL240" s="48"/>
      <c r="ACM240" s="48"/>
      <c r="ACN240" s="48"/>
      <c r="ACO240" s="48"/>
      <c r="ACP240" s="48"/>
      <c r="ACQ240" s="48"/>
      <c r="ACR240" s="48"/>
      <c r="ACS240" s="48"/>
      <c r="ACT240" s="48"/>
      <c r="ACU240" s="48"/>
      <c r="ACV240" s="48"/>
      <c r="ACW240" s="48"/>
      <c r="ACX240" s="48"/>
      <c r="ACY240" s="48"/>
      <c r="ACZ240" s="48"/>
      <c r="ADA240" s="48"/>
      <c r="ADB240" s="48"/>
      <c r="ADC240" s="48"/>
      <c r="ADD240" s="48"/>
      <c r="ADE240" s="48"/>
      <c r="ADF240" s="48"/>
      <c r="ADG240" s="48"/>
      <c r="ADH240" s="48"/>
      <c r="ADI240" s="48"/>
      <c r="ADJ240" s="48"/>
      <c r="ADK240" s="48"/>
      <c r="ADL240" s="48"/>
      <c r="ADM240" s="48"/>
      <c r="ADN240" s="48"/>
      <c r="ADO240" s="48"/>
      <c r="ADP240" s="48"/>
      <c r="ADQ240" s="48"/>
      <c r="ADR240" s="48"/>
      <c r="ADS240" s="48"/>
      <c r="ADT240" s="48"/>
      <c r="ADU240" s="48"/>
      <c r="ADV240" s="48"/>
      <c r="ADW240" s="48"/>
      <c r="ADX240" s="48"/>
      <c r="ADY240" s="48"/>
      <c r="ADZ240" s="48"/>
      <c r="AEA240" s="48"/>
      <c r="AEB240" s="48"/>
      <c r="AEC240" s="48"/>
      <c r="AED240" s="48"/>
      <c r="AEE240" s="48"/>
      <c r="AEF240" s="48"/>
      <c r="AEG240" s="48"/>
      <c r="AEH240" s="48"/>
      <c r="AEI240" s="48"/>
      <c r="AEJ240" s="48"/>
      <c r="AEK240" s="48"/>
      <c r="AEL240" s="48"/>
      <c r="AEM240" s="48"/>
      <c r="AEN240" s="48"/>
      <c r="AEO240" s="48"/>
      <c r="AEP240" s="48"/>
      <c r="AEQ240" s="48"/>
      <c r="AER240" s="48"/>
      <c r="AES240" s="48"/>
      <c r="AET240" s="48"/>
      <c r="AEU240" s="48"/>
      <c r="AEV240" s="48"/>
      <c r="AEW240" s="48"/>
      <c r="AEX240" s="48"/>
      <c r="AEY240" s="48"/>
      <c r="AEZ240" s="48"/>
      <c r="AFA240" s="48"/>
      <c r="AFB240" s="48"/>
      <c r="AFC240" s="48"/>
      <c r="AFD240" s="48"/>
      <c r="AFE240" s="48"/>
      <c r="AFF240" s="48"/>
      <c r="AFG240" s="48"/>
      <c r="AFH240" s="48"/>
      <c r="AFI240" s="48"/>
      <c r="AFJ240" s="48"/>
      <c r="AFK240" s="48"/>
      <c r="AFL240" s="48"/>
      <c r="AFM240" s="48"/>
      <c r="AFN240" s="48"/>
      <c r="AFO240" s="48"/>
      <c r="AFP240" s="48"/>
      <c r="AFQ240" s="48"/>
      <c r="AFR240" s="48"/>
      <c r="AFS240" s="48"/>
      <c r="AFT240" s="48"/>
      <c r="AFU240" s="48"/>
      <c r="AFV240" s="48"/>
      <c r="AFW240" s="48"/>
      <c r="AFX240" s="48"/>
      <c r="AFY240" s="48"/>
      <c r="AFZ240" s="48"/>
      <c r="AGA240" s="48"/>
      <c r="AGB240" s="48"/>
      <c r="AGC240" s="48"/>
      <c r="AGD240" s="48"/>
      <c r="AGE240" s="48"/>
      <c r="AGF240" s="48"/>
      <c r="AGG240" s="48"/>
      <c r="AGH240" s="48"/>
      <c r="AGI240" s="48"/>
      <c r="AGJ240" s="48"/>
      <c r="AGK240" s="48"/>
      <c r="AGL240" s="48"/>
      <c r="AGM240" s="48"/>
      <c r="AGN240" s="48"/>
      <c r="AGO240" s="48"/>
      <c r="AGP240" s="48"/>
      <c r="AGQ240" s="48"/>
      <c r="AGR240" s="48"/>
      <c r="AGS240" s="48"/>
      <c r="AGT240" s="48"/>
      <c r="AGU240" s="48"/>
      <c r="AGV240" s="48"/>
      <c r="AGW240" s="48"/>
      <c r="AGX240" s="48"/>
      <c r="AGY240" s="48"/>
      <c r="AGZ240" s="48"/>
      <c r="AHA240" s="48"/>
      <c r="AHB240" s="48"/>
      <c r="AHC240" s="48"/>
      <c r="AHD240" s="48"/>
      <c r="AHE240" s="48"/>
      <c r="AHF240" s="48"/>
      <c r="AHG240" s="48"/>
      <c r="AHH240" s="48"/>
      <c r="AHI240" s="48"/>
      <c r="AHJ240" s="48"/>
      <c r="AHK240" s="48"/>
      <c r="AHL240" s="48"/>
      <c r="AHM240" s="48"/>
      <c r="AHN240" s="48"/>
      <c r="AHO240" s="48"/>
      <c r="AHP240" s="48"/>
      <c r="AHQ240" s="48"/>
      <c r="AHR240" s="48"/>
      <c r="AHS240" s="48"/>
      <c r="AHT240" s="48"/>
      <c r="AHU240" s="48"/>
      <c r="AHV240" s="48"/>
      <c r="AHW240" s="48"/>
      <c r="AHX240" s="48"/>
      <c r="AHY240" s="48"/>
      <c r="AHZ240" s="48"/>
      <c r="AIA240" s="48"/>
      <c r="AIB240" s="48"/>
      <c r="AIC240" s="48"/>
      <c r="AID240" s="48"/>
      <c r="AIE240" s="48"/>
      <c r="AIF240" s="48"/>
      <c r="AIG240" s="48"/>
      <c r="AIH240" s="48"/>
      <c r="AII240" s="48"/>
      <c r="AIJ240" s="48"/>
      <c r="AIK240" s="48"/>
      <c r="AIL240" s="48"/>
      <c r="AIM240" s="48"/>
      <c r="AIN240" s="48"/>
      <c r="AIO240" s="48"/>
      <c r="AIP240" s="48"/>
      <c r="AIQ240" s="48"/>
      <c r="AIR240" s="48"/>
      <c r="AIS240" s="48"/>
      <c r="AIT240" s="48"/>
      <c r="AIU240" s="48"/>
      <c r="AIV240" s="48"/>
      <c r="AIW240" s="48"/>
      <c r="AIX240" s="48"/>
      <c r="AIY240" s="48"/>
      <c r="AIZ240" s="48"/>
      <c r="AJA240" s="48"/>
      <c r="AJB240" s="48"/>
      <c r="AJC240" s="48"/>
      <c r="AJD240" s="48"/>
      <c r="AJE240" s="48"/>
      <c r="AJF240" s="48"/>
      <c r="AJG240" s="48"/>
      <c r="AJH240" s="48"/>
      <c r="AJI240" s="48"/>
      <c r="AJJ240" s="48"/>
      <c r="AJK240" s="48"/>
      <c r="AJL240" s="48"/>
      <c r="AJM240" s="48"/>
      <c r="AJN240" s="48"/>
      <c r="AJO240" s="48"/>
      <c r="AJP240" s="48"/>
      <c r="AJQ240" s="48"/>
      <c r="AJR240" s="48"/>
      <c r="AJS240" s="48"/>
      <c r="AJT240" s="48"/>
      <c r="AJU240" s="48"/>
      <c r="AJV240" s="48"/>
      <c r="AJW240" s="48"/>
      <c r="AJX240" s="48"/>
      <c r="AJY240" s="48"/>
      <c r="AJZ240" s="48"/>
      <c r="AKA240" s="48"/>
      <c r="AKB240" s="48"/>
      <c r="AKC240" s="48"/>
      <c r="AKD240" s="48"/>
      <c r="AKE240" s="48"/>
      <c r="AKF240" s="48"/>
      <c r="AKG240" s="48"/>
      <c r="AKH240" s="48"/>
      <c r="AKI240" s="48"/>
      <c r="AKJ240" s="48"/>
      <c r="AKK240" s="48"/>
      <c r="AKL240" s="48"/>
      <c r="AKM240" s="48"/>
      <c r="AKN240" s="48"/>
      <c r="AKO240" s="48"/>
      <c r="AKP240" s="48"/>
      <c r="AKQ240" s="48"/>
      <c r="AKR240" s="48"/>
      <c r="AKS240" s="48"/>
      <c r="AKT240" s="48"/>
      <c r="AKU240" s="48"/>
      <c r="AKV240" s="48"/>
      <c r="AKW240" s="48"/>
      <c r="AKX240" s="48"/>
      <c r="AKY240" s="48"/>
      <c r="AKZ240" s="48"/>
      <c r="ALA240" s="48"/>
      <c r="ALB240" s="48"/>
      <c r="ALC240" s="48"/>
      <c r="ALD240" s="48"/>
      <c r="ALE240" s="48"/>
      <c r="ALF240" s="48"/>
      <c r="ALG240" s="48"/>
      <c r="ALH240" s="48"/>
      <c r="ALI240" s="48"/>
      <c r="ALJ240" s="48"/>
      <c r="ALK240" s="48"/>
      <c r="ALL240" s="48"/>
      <c r="ALM240" s="48"/>
      <c r="ALN240" s="48"/>
      <c r="ALO240" s="48"/>
      <c r="ALP240" s="48"/>
      <c r="ALQ240" s="48"/>
      <c r="ALR240" s="48"/>
      <c r="ALS240" s="48"/>
      <c r="ALT240" s="48"/>
      <c r="ALU240" s="48"/>
      <c r="ALV240" s="48"/>
      <c r="ALW240" s="48"/>
      <c r="ALX240" s="48"/>
      <c r="ALY240" s="48"/>
      <c r="ALZ240" s="48"/>
      <c r="AMA240" s="48"/>
      <c r="AMB240" s="48"/>
      <c r="AMC240" s="48"/>
      <c r="AMD240" s="48"/>
      <c r="AME240" s="48"/>
      <c r="AMF240" s="48"/>
      <c r="AMG240" s="48"/>
      <c r="AMH240" s="48"/>
      <c r="AMI240" s="48"/>
      <c r="AMJ240" s="48"/>
      <c r="AMK240" s="48"/>
    </row>
    <row r="241" spans="1:1025" s="80" customFormat="1" x14ac:dyDescent="0.25">
      <c r="A241" s="140" t="s">
        <v>559</v>
      </c>
      <c r="B241" s="54" t="s">
        <v>138</v>
      </c>
      <c r="C241" s="55">
        <v>15.7</v>
      </c>
      <c r="D241" s="55">
        <v>15.7</v>
      </c>
      <c r="E241" s="55">
        <v>19.8</v>
      </c>
      <c r="F241" s="55">
        <v>289</v>
      </c>
      <c r="G241" s="55">
        <v>24.5</v>
      </c>
      <c r="H241" s="55">
        <v>2.8</v>
      </c>
      <c r="I241" s="55">
        <v>0</v>
      </c>
      <c r="J241" s="55">
        <v>10.7</v>
      </c>
      <c r="K241" s="120" t="s">
        <v>284</v>
      </c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  <c r="BK241" s="48"/>
      <c r="BL241" s="48"/>
      <c r="BM241" s="48"/>
      <c r="BN241" s="48"/>
      <c r="BO241" s="48"/>
      <c r="BP241" s="48"/>
      <c r="BQ241" s="48"/>
      <c r="BR241" s="48"/>
      <c r="BS241" s="48"/>
      <c r="BT241" s="48"/>
      <c r="BU241" s="48"/>
      <c r="BV241" s="48"/>
      <c r="BW241" s="48"/>
      <c r="BX241" s="48"/>
      <c r="BY241" s="48"/>
      <c r="BZ241" s="48"/>
      <c r="CA241" s="48"/>
      <c r="CB241" s="48"/>
      <c r="CC241" s="48"/>
      <c r="CD241" s="48"/>
      <c r="CE241" s="48"/>
      <c r="CF241" s="48"/>
      <c r="CG241" s="48"/>
      <c r="CH241" s="48"/>
      <c r="CI241" s="48"/>
      <c r="CJ241" s="48"/>
      <c r="CK241" s="48"/>
      <c r="CL241" s="48"/>
      <c r="CM241" s="48"/>
      <c r="CN241" s="48"/>
      <c r="CO241" s="48"/>
      <c r="CP241" s="48"/>
      <c r="CQ241" s="48"/>
      <c r="CR241" s="48"/>
      <c r="CS241" s="48"/>
      <c r="CT241" s="48"/>
      <c r="CU241" s="48"/>
      <c r="CV241" s="48"/>
      <c r="CW241" s="48"/>
      <c r="CX241" s="48"/>
      <c r="CY241" s="48"/>
      <c r="CZ241" s="48"/>
      <c r="DA241" s="48"/>
      <c r="DB241" s="48"/>
      <c r="DC241" s="48"/>
      <c r="DD241" s="48"/>
      <c r="DE241" s="48"/>
      <c r="DF241" s="48"/>
      <c r="DG241" s="48"/>
      <c r="DH241" s="48"/>
      <c r="DI241" s="48"/>
      <c r="DJ241" s="48"/>
      <c r="DK241" s="48"/>
      <c r="DL241" s="48"/>
      <c r="DM241" s="48"/>
      <c r="DN241" s="48"/>
      <c r="DO241" s="48"/>
      <c r="DP241" s="48"/>
      <c r="DQ241" s="48"/>
      <c r="DR241" s="48"/>
      <c r="DS241" s="48"/>
      <c r="DT241" s="48"/>
      <c r="DU241" s="48"/>
      <c r="DV241" s="48"/>
      <c r="DW241" s="48"/>
      <c r="DX241" s="48"/>
      <c r="DY241" s="48"/>
      <c r="DZ241" s="48"/>
      <c r="EA241" s="48"/>
      <c r="EB241" s="48"/>
      <c r="EC241" s="48"/>
      <c r="ED241" s="48"/>
      <c r="EE241" s="48"/>
      <c r="EF241" s="48"/>
      <c r="EG241" s="48"/>
      <c r="EH241" s="48"/>
      <c r="EI241" s="48"/>
      <c r="EJ241" s="48"/>
      <c r="EK241" s="48"/>
      <c r="EL241" s="48"/>
      <c r="EM241" s="48"/>
      <c r="EN241" s="48"/>
      <c r="EO241" s="48"/>
      <c r="EP241" s="48"/>
      <c r="EQ241" s="48"/>
      <c r="ER241" s="48"/>
      <c r="ES241" s="48"/>
      <c r="ET241" s="48"/>
      <c r="EU241" s="48"/>
      <c r="EV241" s="48"/>
      <c r="EW241" s="48"/>
      <c r="EX241" s="48"/>
      <c r="EY241" s="48"/>
      <c r="EZ241" s="48"/>
      <c r="FA241" s="48"/>
      <c r="FB241" s="48"/>
      <c r="FC241" s="48"/>
      <c r="FD241" s="48"/>
      <c r="FE241" s="48"/>
      <c r="FF241" s="48"/>
      <c r="FG241" s="48"/>
      <c r="FH241" s="48"/>
      <c r="FI241" s="48"/>
      <c r="FJ241" s="48"/>
      <c r="FK241" s="48"/>
      <c r="FL241" s="48"/>
      <c r="FM241" s="48"/>
      <c r="FN241" s="48"/>
      <c r="FO241" s="48"/>
      <c r="FP241" s="48"/>
      <c r="FQ241" s="48"/>
      <c r="FR241" s="48"/>
      <c r="FS241" s="48"/>
      <c r="FT241" s="48"/>
      <c r="FU241" s="48"/>
      <c r="FV241" s="48"/>
      <c r="FW241" s="48"/>
      <c r="FX241" s="48"/>
      <c r="FY241" s="48"/>
      <c r="FZ241" s="48"/>
      <c r="GA241" s="48"/>
      <c r="GB241" s="48"/>
      <c r="GC241" s="48"/>
      <c r="GD241" s="48"/>
      <c r="GE241" s="48"/>
      <c r="GF241" s="48"/>
      <c r="GG241" s="48"/>
      <c r="GH241" s="48"/>
      <c r="GI241" s="48"/>
      <c r="GJ241" s="48"/>
      <c r="GK241" s="48"/>
      <c r="GL241" s="48"/>
      <c r="GM241" s="48"/>
      <c r="GN241" s="48"/>
      <c r="GO241" s="48"/>
      <c r="GP241" s="48"/>
      <c r="GQ241" s="48"/>
      <c r="GR241" s="48"/>
      <c r="GS241" s="48"/>
      <c r="GT241" s="48"/>
      <c r="GU241" s="48"/>
      <c r="GV241" s="48"/>
      <c r="GW241" s="48"/>
      <c r="GX241" s="48"/>
      <c r="GY241" s="48"/>
      <c r="GZ241" s="48"/>
      <c r="HA241" s="48"/>
      <c r="HB241" s="48"/>
      <c r="HC241" s="48"/>
      <c r="HD241" s="48"/>
      <c r="HE241" s="48"/>
      <c r="HF241" s="48"/>
      <c r="HG241" s="48"/>
      <c r="HH241" s="48"/>
      <c r="HI241" s="48"/>
      <c r="HJ241" s="48"/>
      <c r="HK241" s="48"/>
      <c r="HL241" s="48"/>
      <c r="HM241" s="48"/>
      <c r="HN241" s="48"/>
      <c r="HO241" s="48"/>
      <c r="HP241" s="48"/>
      <c r="HQ241" s="48"/>
      <c r="HR241" s="48"/>
      <c r="HS241" s="48"/>
      <c r="HT241" s="48"/>
      <c r="HU241" s="48"/>
      <c r="HV241" s="48"/>
      <c r="HW241" s="48"/>
      <c r="HX241" s="48"/>
      <c r="HY241" s="48"/>
      <c r="HZ241" s="48"/>
      <c r="IA241" s="48"/>
      <c r="IB241" s="48"/>
      <c r="IC241" s="48"/>
      <c r="ID241" s="48"/>
      <c r="IE241" s="48"/>
      <c r="IF241" s="48"/>
      <c r="IG241" s="48"/>
      <c r="IH241" s="48"/>
      <c r="II241" s="48"/>
      <c r="IJ241" s="48"/>
      <c r="IK241" s="48"/>
      <c r="IL241" s="48"/>
      <c r="IM241" s="48"/>
      <c r="IN241" s="48"/>
      <c r="IO241" s="48"/>
      <c r="IP241" s="48"/>
      <c r="IQ241" s="48"/>
      <c r="IR241" s="48"/>
      <c r="IS241" s="48"/>
      <c r="IT241" s="48"/>
      <c r="IU241" s="48"/>
      <c r="IV241" s="48"/>
      <c r="IW241" s="48"/>
      <c r="IX241" s="48"/>
      <c r="IY241" s="48"/>
      <c r="IZ241" s="48"/>
      <c r="JA241" s="48"/>
      <c r="JB241" s="48"/>
      <c r="JC241" s="48"/>
      <c r="JD241" s="48"/>
      <c r="JE241" s="48"/>
      <c r="JF241" s="48"/>
      <c r="JG241" s="48"/>
      <c r="JH241" s="48"/>
      <c r="JI241" s="48"/>
      <c r="JJ241" s="48"/>
      <c r="JK241" s="48"/>
      <c r="JL241" s="48"/>
      <c r="JM241" s="48"/>
      <c r="JN241" s="48"/>
      <c r="JO241" s="48"/>
      <c r="JP241" s="48"/>
      <c r="JQ241" s="48"/>
      <c r="JR241" s="48"/>
      <c r="JS241" s="48"/>
      <c r="JT241" s="48"/>
      <c r="JU241" s="48"/>
      <c r="JV241" s="48"/>
      <c r="JW241" s="48"/>
      <c r="JX241" s="48"/>
      <c r="JY241" s="48"/>
      <c r="JZ241" s="48"/>
      <c r="KA241" s="48"/>
      <c r="KB241" s="48"/>
      <c r="KC241" s="48"/>
      <c r="KD241" s="48"/>
      <c r="KE241" s="48"/>
      <c r="KF241" s="48"/>
      <c r="KG241" s="48"/>
      <c r="KH241" s="48"/>
      <c r="KI241" s="48"/>
      <c r="KJ241" s="48"/>
      <c r="KK241" s="48"/>
      <c r="KL241" s="48"/>
      <c r="KM241" s="48"/>
      <c r="KN241" s="48"/>
      <c r="KO241" s="48"/>
      <c r="KP241" s="48"/>
      <c r="KQ241" s="48"/>
      <c r="KR241" s="48"/>
      <c r="KS241" s="48"/>
      <c r="KT241" s="48"/>
      <c r="KU241" s="48"/>
      <c r="KV241" s="48"/>
      <c r="KW241" s="48"/>
      <c r="KX241" s="48"/>
      <c r="KY241" s="48"/>
      <c r="KZ241" s="48"/>
      <c r="LA241" s="48"/>
      <c r="LB241" s="48"/>
      <c r="LC241" s="48"/>
      <c r="LD241" s="48"/>
      <c r="LE241" s="48"/>
      <c r="LF241" s="48"/>
      <c r="LG241" s="48"/>
      <c r="LH241" s="48"/>
      <c r="LI241" s="48"/>
      <c r="LJ241" s="48"/>
      <c r="LK241" s="48"/>
      <c r="LL241" s="48"/>
      <c r="LM241" s="48"/>
      <c r="LN241" s="48"/>
      <c r="LO241" s="48"/>
      <c r="LP241" s="48"/>
      <c r="LQ241" s="48"/>
      <c r="LR241" s="48"/>
      <c r="LS241" s="48"/>
      <c r="LT241" s="48"/>
      <c r="LU241" s="48"/>
      <c r="LV241" s="48"/>
      <c r="LW241" s="48"/>
      <c r="LX241" s="48"/>
      <c r="LY241" s="48"/>
      <c r="LZ241" s="48"/>
      <c r="MA241" s="48"/>
      <c r="MB241" s="48"/>
      <c r="MC241" s="48"/>
      <c r="MD241" s="48"/>
      <c r="ME241" s="48"/>
      <c r="MF241" s="48"/>
      <c r="MG241" s="48"/>
      <c r="MH241" s="48"/>
      <c r="MI241" s="48"/>
      <c r="MJ241" s="48"/>
      <c r="MK241" s="48"/>
      <c r="ML241" s="48"/>
      <c r="MM241" s="48"/>
      <c r="MN241" s="48"/>
      <c r="MO241" s="48"/>
      <c r="MP241" s="48"/>
      <c r="MQ241" s="48"/>
      <c r="MR241" s="48"/>
      <c r="MS241" s="48"/>
      <c r="MT241" s="48"/>
      <c r="MU241" s="48"/>
      <c r="MV241" s="48"/>
      <c r="MW241" s="48"/>
      <c r="MX241" s="48"/>
      <c r="MY241" s="48"/>
      <c r="MZ241" s="48"/>
      <c r="NA241" s="48"/>
      <c r="NB241" s="48"/>
      <c r="NC241" s="48"/>
      <c r="ND241" s="48"/>
      <c r="NE241" s="48"/>
      <c r="NF241" s="48"/>
      <c r="NG241" s="48"/>
      <c r="NH241" s="48"/>
      <c r="NI241" s="48"/>
      <c r="NJ241" s="48"/>
      <c r="NK241" s="48"/>
      <c r="NL241" s="48"/>
      <c r="NM241" s="48"/>
      <c r="NN241" s="48"/>
      <c r="NO241" s="48"/>
      <c r="NP241" s="48"/>
      <c r="NQ241" s="48"/>
      <c r="NR241" s="48"/>
      <c r="NS241" s="48"/>
      <c r="NT241" s="48"/>
      <c r="NU241" s="48"/>
      <c r="NV241" s="48"/>
      <c r="NW241" s="48"/>
      <c r="NX241" s="48"/>
      <c r="NY241" s="48"/>
      <c r="NZ241" s="48"/>
      <c r="OA241" s="48"/>
      <c r="OB241" s="48"/>
      <c r="OC241" s="48"/>
      <c r="OD241" s="48"/>
      <c r="OE241" s="48"/>
      <c r="OF241" s="48"/>
      <c r="OG241" s="48"/>
      <c r="OH241" s="48"/>
      <c r="OI241" s="48"/>
      <c r="OJ241" s="48"/>
      <c r="OK241" s="48"/>
      <c r="OL241" s="48"/>
      <c r="OM241" s="48"/>
      <c r="ON241" s="48"/>
      <c r="OO241" s="48"/>
      <c r="OP241" s="48"/>
      <c r="OQ241" s="48"/>
      <c r="OR241" s="48"/>
      <c r="OS241" s="48"/>
      <c r="OT241" s="48"/>
      <c r="OU241" s="48"/>
      <c r="OV241" s="48"/>
      <c r="OW241" s="48"/>
      <c r="OX241" s="48"/>
      <c r="OY241" s="48"/>
      <c r="OZ241" s="48"/>
      <c r="PA241" s="48"/>
      <c r="PB241" s="48"/>
      <c r="PC241" s="48"/>
      <c r="PD241" s="48"/>
      <c r="PE241" s="48"/>
      <c r="PF241" s="48"/>
      <c r="PG241" s="48"/>
      <c r="PH241" s="48"/>
      <c r="PI241" s="48"/>
      <c r="PJ241" s="48"/>
      <c r="PK241" s="48"/>
      <c r="PL241" s="48"/>
      <c r="PM241" s="48"/>
      <c r="PN241" s="48"/>
      <c r="PO241" s="48"/>
      <c r="PP241" s="48"/>
      <c r="PQ241" s="48"/>
      <c r="PR241" s="48"/>
      <c r="PS241" s="48"/>
      <c r="PT241" s="48"/>
      <c r="PU241" s="48"/>
      <c r="PV241" s="48"/>
      <c r="PW241" s="48"/>
      <c r="PX241" s="48"/>
      <c r="PY241" s="48"/>
      <c r="PZ241" s="48"/>
      <c r="QA241" s="48"/>
      <c r="QB241" s="48"/>
      <c r="QC241" s="48"/>
      <c r="QD241" s="48"/>
      <c r="QE241" s="48"/>
      <c r="QF241" s="48"/>
      <c r="QG241" s="48"/>
      <c r="QH241" s="48"/>
      <c r="QI241" s="48"/>
      <c r="QJ241" s="48"/>
      <c r="QK241" s="48"/>
      <c r="QL241" s="48"/>
      <c r="QM241" s="48"/>
      <c r="QN241" s="48"/>
      <c r="QO241" s="48"/>
      <c r="QP241" s="48"/>
      <c r="QQ241" s="48"/>
      <c r="QR241" s="48"/>
      <c r="QS241" s="48"/>
      <c r="QT241" s="48"/>
      <c r="QU241" s="48"/>
      <c r="QV241" s="48"/>
      <c r="QW241" s="48"/>
      <c r="QX241" s="48"/>
      <c r="QY241" s="48"/>
      <c r="QZ241" s="48"/>
      <c r="RA241" s="48"/>
      <c r="RB241" s="48"/>
      <c r="RC241" s="48"/>
      <c r="RD241" s="48"/>
      <c r="RE241" s="48"/>
      <c r="RF241" s="48"/>
      <c r="RG241" s="48"/>
      <c r="RH241" s="48"/>
      <c r="RI241" s="48"/>
      <c r="RJ241" s="48"/>
      <c r="RK241" s="48"/>
      <c r="RL241" s="48"/>
      <c r="RM241" s="48"/>
      <c r="RN241" s="48"/>
      <c r="RO241" s="48"/>
      <c r="RP241" s="48"/>
      <c r="RQ241" s="48"/>
      <c r="RR241" s="48"/>
      <c r="RS241" s="48"/>
      <c r="RT241" s="48"/>
      <c r="RU241" s="48"/>
      <c r="RV241" s="48"/>
      <c r="RW241" s="48"/>
      <c r="RX241" s="48"/>
      <c r="RY241" s="48"/>
      <c r="RZ241" s="48"/>
      <c r="SA241" s="48"/>
      <c r="SB241" s="48"/>
      <c r="SC241" s="48"/>
      <c r="SD241" s="48"/>
      <c r="SE241" s="48"/>
      <c r="SF241" s="48"/>
      <c r="SG241" s="48"/>
      <c r="SH241" s="48"/>
      <c r="SI241" s="48"/>
      <c r="SJ241" s="48"/>
      <c r="SK241" s="48"/>
      <c r="SL241" s="48"/>
      <c r="SM241" s="48"/>
      <c r="SN241" s="48"/>
      <c r="SO241" s="48"/>
      <c r="SP241" s="48"/>
      <c r="SQ241" s="48"/>
      <c r="SR241" s="48"/>
      <c r="SS241" s="48"/>
      <c r="ST241" s="48"/>
      <c r="SU241" s="48"/>
      <c r="SV241" s="48"/>
      <c r="SW241" s="48"/>
      <c r="SX241" s="48"/>
      <c r="SY241" s="48"/>
      <c r="SZ241" s="48"/>
      <c r="TA241" s="48"/>
      <c r="TB241" s="48"/>
      <c r="TC241" s="48"/>
      <c r="TD241" s="48"/>
      <c r="TE241" s="48"/>
      <c r="TF241" s="48"/>
      <c r="TG241" s="48"/>
      <c r="TH241" s="48"/>
      <c r="TI241" s="48"/>
      <c r="TJ241" s="48"/>
      <c r="TK241" s="48"/>
      <c r="TL241" s="48"/>
      <c r="TM241" s="48"/>
      <c r="TN241" s="48"/>
      <c r="TO241" s="48"/>
      <c r="TP241" s="48"/>
      <c r="TQ241" s="48"/>
      <c r="TR241" s="48"/>
      <c r="TS241" s="48"/>
      <c r="TT241" s="48"/>
      <c r="TU241" s="48"/>
      <c r="TV241" s="48"/>
      <c r="TW241" s="48"/>
      <c r="TX241" s="48"/>
      <c r="TY241" s="48"/>
      <c r="TZ241" s="48"/>
      <c r="UA241" s="48"/>
      <c r="UB241" s="48"/>
      <c r="UC241" s="48"/>
      <c r="UD241" s="48"/>
      <c r="UE241" s="48"/>
      <c r="UF241" s="48"/>
      <c r="UG241" s="48"/>
      <c r="UH241" s="48"/>
      <c r="UI241" s="48"/>
      <c r="UJ241" s="48"/>
      <c r="UK241" s="48"/>
      <c r="UL241" s="48"/>
      <c r="UM241" s="48"/>
      <c r="UN241" s="48"/>
      <c r="UO241" s="48"/>
      <c r="UP241" s="48"/>
      <c r="UQ241" s="48"/>
      <c r="UR241" s="48"/>
      <c r="US241" s="48"/>
      <c r="UT241" s="48"/>
      <c r="UU241" s="48"/>
      <c r="UV241" s="48"/>
      <c r="UW241" s="48"/>
      <c r="UX241" s="48"/>
      <c r="UY241" s="48"/>
      <c r="UZ241" s="48"/>
      <c r="VA241" s="48"/>
      <c r="VB241" s="48"/>
      <c r="VC241" s="48"/>
      <c r="VD241" s="48"/>
      <c r="VE241" s="48"/>
      <c r="VF241" s="48"/>
      <c r="VG241" s="48"/>
      <c r="VH241" s="48"/>
      <c r="VI241" s="48"/>
      <c r="VJ241" s="48"/>
      <c r="VK241" s="48"/>
      <c r="VL241" s="48"/>
      <c r="VM241" s="48"/>
      <c r="VN241" s="48"/>
      <c r="VO241" s="48"/>
      <c r="VP241" s="48"/>
      <c r="VQ241" s="48"/>
      <c r="VR241" s="48"/>
      <c r="VS241" s="48"/>
      <c r="VT241" s="48"/>
      <c r="VU241" s="48"/>
      <c r="VV241" s="48"/>
      <c r="VW241" s="48"/>
      <c r="VX241" s="48"/>
      <c r="VY241" s="48"/>
      <c r="VZ241" s="48"/>
      <c r="WA241" s="48"/>
      <c r="WB241" s="48"/>
      <c r="WC241" s="48"/>
      <c r="WD241" s="48"/>
      <c r="WE241" s="48"/>
      <c r="WF241" s="48"/>
      <c r="WG241" s="48"/>
      <c r="WH241" s="48"/>
      <c r="WI241" s="48"/>
      <c r="WJ241" s="48"/>
      <c r="WK241" s="48"/>
      <c r="WL241" s="48"/>
      <c r="WM241" s="48"/>
      <c r="WN241" s="48"/>
      <c r="WO241" s="48"/>
      <c r="WP241" s="48"/>
      <c r="WQ241" s="48"/>
      <c r="WR241" s="48"/>
      <c r="WS241" s="48"/>
      <c r="WT241" s="48"/>
      <c r="WU241" s="48"/>
      <c r="WV241" s="48"/>
      <c r="WW241" s="48"/>
      <c r="WX241" s="48"/>
      <c r="WY241" s="48"/>
      <c r="WZ241" s="48"/>
      <c r="XA241" s="48"/>
      <c r="XB241" s="48"/>
      <c r="XC241" s="48"/>
      <c r="XD241" s="48"/>
      <c r="XE241" s="48"/>
      <c r="XF241" s="48"/>
      <c r="XG241" s="48"/>
      <c r="XH241" s="48"/>
      <c r="XI241" s="48"/>
      <c r="XJ241" s="48"/>
      <c r="XK241" s="48"/>
      <c r="XL241" s="48"/>
      <c r="XM241" s="48"/>
      <c r="XN241" s="48"/>
      <c r="XO241" s="48"/>
      <c r="XP241" s="48"/>
      <c r="XQ241" s="48"/>
      <c r="XR241" s="48"/>
      <c r="XS241" s="48"/>
      <c r="XT241" s="48"/>
      <c r="XU241" s="48"/>
      <c r="XV241" s="48"/>
      <c r="XW241" s="48"/>
      <c r="XX241" s="48"/>
      <c r="XY241" s="48"/>
      <c r="XZ241" s="48"/>
      <c r="YA241" s="48"/>
      <c r="YB241" s="48"/>
      <c r="YC241" s="48"/>
      <c r="YD241" s="48"/>
      <c r="YE241" s="48"/>
      <c r="YF241" s="48"/>
      <c r="YG241" s="48"/>
      <c r="YH241" s="48"/>
      <c r="YI241" s="48"/>
      <c r="YJ241" s="48"/>
      <c r="YK241" s="48"/>
      <c r="YL241" s="48"/>
      <c r="YM241" s="48"/>
      <c r="YN241" s="48"/>
      <c r="YO241" s="48"/>
      <c r="YP241" s="48"/>
      <c r="YQ241" s="48"/>
      <c r="YR241" s="48"/>
      <c r="YS241" s="48"/>
      <c r="YT241" s="48"/>
      <c r="YU241" s="48"/>
      <c r="YV241" s="48"/>
      <c r="YW241" s="48"/>
      <c r="YX241" s="48"/>
      <c r="YY241" s="48"/>
      <c r="YZ241" s="48"/>
      <c r="ZA241" s="48"/>
      <c r="ZB241" s="48"/>
      <c r="ZC241" s="48"/>
      <c r="ZD241" s="48"/>
      <c r="ZE241" s="48"/>
      <c r="ZF241" s="48"/>
      <c r="ZG241" s="48"/>
      <c r="ZH241" s="48"/>
      <c r="ZI241" s="48"/>
      <c r="ZJ241" s="48"/>
      <c r="ZK241" s="48"/>
      <c r="ZL241" s="48"/>
      <c r="ZM241" s="48"/>
      <c r="ZN241" s="48"/>
      <c r="ZO241" s="48"/>
      <c r="ZP241" s="48"/>
      <c r="ZQ241" s="48"/>
      <c r="ZR241" s="48"/>
      <c r="ZS241" s="48"/>
      <c r="ZT241" s="48"/>
      <c r="ZU241" s="48"/>
      <c r="ZV241" s="48"/>
      <c r="ZW241" s="48"/>
      <c r="ZX241" s="48"/>
      <c r="ZY241" s="48"/>
      <c r="ZZ241" s="48"/>
      <c r="AAA241" s="48"/>
      <c r="AAB241" s="48"/>
      <c r="AAC241" s="48"/>
      <c r="AAD241" s="48"/>
      <c r="AAE241" s="48"/>
      <c r="AAF241" s="48"/>
      <c r="AAG241" s="48"/>
      <c r="AAH241" s="48"/>
      <c r="AAI241" s="48"/>
      <c r="AAJ241" s="48"/>
      <c r="AAK241" s="48"/>
      <c r="AAL241" s="48"/>
      <c r="AAM241" s="48"/>
      <c r="AAN241" s="48"/>
      <c r="AAO241" s="48"/>
      <c r="AAP241" s="48"/>
      <c r="AAQ241" s="48"/>
      <c r="AAR241" s="48"/>
      <c r="AAS241" s="48"/>
      <c r="AAT241" s="48"/>
      <c r="AAU241" s="48"/>
      <c r="AAV241" s="48"/>
      <c r="AAW241" s="48"/>
      <c r="AAX241" s="48"/>
      <c r="AAY241" s="48"/>
      <c r="AAZ241" s="48"/>
      <c r="ABA241" s="48"/>
      <c r="ABB241" s="48"/>
      <c r="ABC241" s="48"/>
      <c r="ABD241" s="48"/>
      <c r="ABE241" s="48"/>
      <c r="ABF241" s="48"/>
      <c r="ABG241" s="48"/>
      <c r="ABH241" s="48"/>
      <c r="ABI241" s="48"/>
      <c r="ABJ241" s="48"/>
      <c r="ABK241" s="48"/>
      <c r="ABL241" s="48"/>
      <c r="ABM241" s="48"/>
      <c r="ABN241" s="48"/>
      <c r="ABO241" s="48"/>
      <c r="ABP241" s="48"/>
      <c r="ABQ241" s="48"/>
      <c r="ABR241" s="48"/>
      <c r="ABS241" s="48"/>
      <c r="ABT241" s="48"/>
      <c r="ABU241" s="48"/>
      <c r="ABV241" s="48"/>
      <c r="ABW241" s="48"/>
      <c r="ABX241" s="48"/>
      <c r="ABY241" s="48"/>
      <c r="ABZ241" s="48"/>
      <c r="ACA241" s="48"/>
      <c r="ACB241" s="48"/>
      <c r="ACC241" s="48"/>
      <c r="ACD241" s="48"/>
      <c r="ACE241" s="48"/>
      <c r="ACF241" s="48"/>
      <c r="ACG241" s="48"/>
      <c r="ACH241" s="48"/>
      <c r="ACI241" s="48"/>
      <c r="ACJ241" s="48"/>
      <c r="ACK241" s="48"/>
      <c r="ACL241" s="48"/>
      <c r="ACM241" s="48"/>
      <c r="ACN241" s="48"/>
      <c r="ACO241" s="48"/>
      <c r="ACP241" s="48"/>
      <c r="ACQ241" s="48"/>
      <c r="ACR241" s="48"/>
      <c r="ACS241" s="48"/>
      <c r="ACT241" s="48"/>
      <c r="ACU241" s="48"/>
      <c r="ACV241" s="48"/>
      <c r="ACW241" s="48"/>
      <c r="ACX241" s="48"/>
      <c r="ACY241" s="48"/>
      <c r="ACZ241" s="48"/>
      <c r="ADA241" s="48"/>
      <c r="ADB241" s="48"/>
      <c r="ADC241" s="48"/>
      <c r="ADD241" s="48"/>
      <c r="ADE241" s="48"/>
      <c r="ADF241" s="48"/>
      <c r="ADG241" s="48"/>
      <c r="ADH241" s="48"/>
      <c r="ADI241" s="48"/>
      <c r="ADJ241" s="48"/>
      <c r="ADK241" s="48"/>
      <c r="ADL241" s="48"/>
      <c r="ADM241" s="48"/>
      <c r="ADN241" s="48"/>
      <c r="ADO241" s="48"/>
      <c r="ADP241" s="48"/>
      <c r="ADQ241" s="48"/>
      <c r="ADR241" s="48"/>
      <c r="ADS241" s="48"/>
      <c r="ADT241" s="48"/>
      <c r="ADU241" s="48"/>
      <c r="ADV241" s="48"/>
      <c r="ADW241" s="48"/>
      <c r="ADX241" s="48"/>
      <c r="ADY241" s="48"/>
      <c r="ADZ241" s="48"/>
      <c r="AEA241" s="48"/>
      <c r="AEB241" s="48"/>
      <c r="AEC241" s="48"/>
      <c r="AED241" s="48"/>
      <c r="AEE241" s="48"/>
      <c r="AEF241" s="48"/>
      <c r="AEG241" s="48"/>
      <c r="AEH241" s="48"/>
      <c r="AEI241" s="48"/>
      <c r="AEJ241" s="48"/>
      <c r="AEK241" s="48"/>
      <c r="AEL241" s="48"/>
      <c r="AEM241" s="48"/>
      <c r="AEN241" s="48"/>
      <c r="AEO241" s="48"/>
      <c r="AEP241" s="48"/>
      <c r="AEQ241" s="48"/>
      <c r="AER241" s="48"/>
      <c r="AES241" s="48"/>
      <c r="AET241" s="48"/>
      <c r="AEU241" s="48"/>
      <c r="AEV241" s="48"/>
      <c r="AEW241" s="48"/>
      <c r="AEX241" s="48"/>
      <c r="AEY241" s="48"/>
      <c r="AEZ241" s="48"/>
      <c r="AFA241" s="48"/>
      <c r="AFB241" s="48"/>
      <c r="AFC241" s="48"/>
      <c r="AFD241" s="48"/>
      <c r="AFE241" s="48"/>
      <c r="AFF241" s="48"/>
      <c r="AFG241" s="48"/>
      <c r="AFH241" s="48"/>
      <c r="AFI241" s="48"/>
      <c r="AFJ241" s="48"/>
      <c r="AFK241" s="48"/>
      <c r="AFL241" s="48"/>
      <c r="AFM241" s="48"/>
      <c r="AFN241" s="48"/>
      <c r="AFO241" s="48"/>
      <c r="AFP241" s="48"/>
      <c r="AFQ241" s="48"/>
      <c r="AFR241" s="48"/>
      <c r="AFS241" s="48"/>
      <c r="AFT241" s="48"/>
      <c r="AFU241" s="48"/>
      <c r="AFV241" s="48"/>
      <c r="AFW241" s="48"/>
      <c r="AFX241" s="48"/>
      <c r="AFY241" s="48"/>
      <c r="AFZ241" s="48"/>
      <c r="AGA241" s="48"/>
      <c r="AGB241" s="48"/>
      <c r="AGC241" s="48"/>
      <c r="AGD241" s="48"/>
      <c r="AGE241" s="48"/>
      <c r="AGF241" s="48"/>
      <c r="AGG241" s="48"/>
      <c r="AGH241" s="48"/>
      <c r="AGI241" s="48"/>
      <c r="AGJ241" s="48"/>
      <c r="AGK241" s="48"/>
      <c r="AGL241" s="48"/>
      <c r="AGM241" s="48"/>
      <c r="AGN241" s="48"/>
      <c r="AGO241" s="48"/>
      <c r="AGP241" s="48"/>
      <c r="AGQ241" s="48"/>
      <c r="AGR241" s="48"/>
      <c r="AGS241" s="48"/>
      <c r="AGT241" s="48"/>
      <c r="AGU241" s="48"/>
      <c r="AGV241" s="48"/>
      <c r="AGW241" s="48"/>
      <c r="AGX241" s="48"/>
      <c r="AGY241" s="48"/>
      <c r="AGZ241" s="48"/>
      <c r="AHA241" s="48"/>
      <c r="AHB241" s="48"/>
      <c r="AHC241" s="48"/>
      <c r="AHD241" s="48"/>
      <c r="AHE241" s="48"/>
      <c r="AHF241" s="48"/>
      <c r="AHG241" s="48"/>
      <c r="AHH241" s="48"/>
      <c r="AHI241" s="48"/>
      <c r="AHJ241" s="48"/>
      <c r="AHK241" s="48"/>
      <c r="AHL241" s="48"/>
      <c r="AHM241" s="48"/>
      <c r="AHN241" s="48"/>
      <c r="AHO241" s="48"/>
      <c r="AHP241" s="48"/>
      <c r="AHQ241" s="48"/>
      <c r="AHR241" s="48"/>
      <c r="AHS241" s="48"/>
      <c r="AHT241" s="48"/>
      <c r="AHU241" s="48"/>
      <c r="AHV241" s="48"/>
      <c r="AHW241" s="48"/>
      <c r="AHX241" s="48"/>
      <c r="AHY241" s="48"/>
      <c r="AHZ241" s="48"/>
      <c r="AIA241" s="48"/>
      <c r="AIB241" s="48"/>
      <c r="AIC241" s="48"/>
      <c r="AID241" s="48"/>
      <c r="AIE241" s="48"/>
      <c r="AIF241" s="48"/>
      <c r="AIG241" s="48"/>
      <c r="AIH241" s="48"/>
      <c r="AII241" s="48"/>
      <c r="AIJ241" s="48"/>
      <c r="AIK241" s="48"/>
      <c r="AIL241" s="48"/>
      <c r="AIM241" s="48"/>
      <c r="AIN241" s="48"/>
      <c r="AIO241" s="48"/>
      <c r="AIP241" s="48"/>
      <c r="AIQ241" s="48"/>
      <c r="AIR241" s="48"/>
      <c r="AIS241" s="48"/>
      <c r="AIT241" s="48"/>
      <c r="AIU241" s="48"/>
      <c r="AIV241" s="48"/>
      <c r="AIW241" s="48"/>
      <c r="AIX241" s="48"/>
      <c r="AIY241" s="48"/>
      <c r="AIZ241" s="48"/>
      <c r="AJA241" s="48"/>
      <c r="AJB241" s="48"/>
      <c r="AJC241" s="48"/>
      <c r="AJD241" s="48"/>
      <c r="AJE241" s="48"/>
      <c r="AJF241" s="48"/>
      <c r="AJG241" s="48"/>
      <c r="AJH241" s="48"/>
      <c r="AJI241" s="48"/>
      <c r="AJJ241" s="48"/>
      <c r="AJK241" s="48"/>
      <c r="AJL241" s="48"/>
      <c r="AJM241" s="48"/>
      <c r="AJN241" s="48"/>
      <c r="AJO241" s="48"/>
      <c r="AJP241" s="48"/>
      <c r="AJQ241" s="48"/>
      <c r="AJR241" s="48"/>
      <c r="AJS241" s="48"/>
      <c r="AJT241" s="48"/>
      <c r="AJU241" s="48"/>
      <c r="AJV241" s="48"/>
      <c r="AJW241" s="48"/>
      <c r="AJX241" s="48"/>
      <c r="AJY241" s="48"/>
      <c r="AJZ241" s="48"/>
      <c r="AKA241" s="48"/>
      <c r="AKB241" s="48"/>
      <c r="AKC241" s="48"/>
      <c r="AKD241" s="48"/>
      <c r="AKE241" s="48"/>
      <c r="AKF241" s="48"/>
      <c r="AKG241" s="48"/>
      <c r="AKH241" s="48"/>
      <c r="AKI241" s="48"/>
      <c r="AKJ241" s="48"/>
      <c r="AKK241" s="48"/>
      <c r="AKL241" s="48"/>
      <c r="AKM241" s="48"/>
      <c r="AKN241" s="48"/>
      <c r="AKO241" s="48"/>
      <c r="AKP241" s="48"/>
      <c r="AKQ241" s="48"/>
      <c r="AKR241" s="48"/>
      <c r="AKS241" s="48"/>
      <c r="AKT241" s="48"/>
      <c r="AKU241" s="48"/>
      <c r="AKV241" s="48"/>
      <c r="AKW241" s="48"/>
      <c r="AKX241" s="48"/>
      <c r="AKY241" s="48"/>
      <c r="AKZ241" s="48"/>
      <c r="ALA241" s="48"/>
      <c r="ALB241" s="48"/>
      <c r="ALC241" s="48"/>
      <c r="ALD241" s="48"/>
      <c r="ALE241" s="48"/>
      <c r="ALF241" s="48"/>
      <c r="ALG241" s="48"/>
      <c r="ALH241" s="48"/>
      <c r="ALI241" s="48"/>
      <c r="ALJ241" s="48"/>
      <c r="ALK241" s="48"/>
      <c r="ALL241" s="48"/>
      <c r="ALM241" s="48"/>
      <c r="ALN241" s="48"/>
      <c r="ALO241" s="48"/>
      <c r="ALP241" s="48"/>
      <c r="ALQ241" s="48"/>
      <c r="ALR241" s="48"/>
      <c r="ALS241" s="48"/>
      <c r="ALT241" s="48"/>
      <c r="ALU241" s="48"/>
      <c r="ALV241" s="48"/>
      <c r="ALW241" s="48"/>
      <c r="ALX241" s="48"/>
      <c r="ALY241" s="48"/>
      <c r="ALZ241" s="48"/>
      <c r="AMA241" s="48"/>
      <c r="AMB241" s="48"/>
      <c r="AMC241" s="48"/>
      <c r="AMD241" s="48"/>
      <c r="AME241" s="48"/>
      <c r="AMF241" s="48"/>
      <c r="AMG241" s="48"/>
      <c r="AMH241" s="48"/>
      <c r="AMI241" s="48"/>
      <c r="AMJ241" s="48"/>
      <c r="AMK241" s="48"/>
    </row>
    <row r="242" spans="1:1025" s="80" customFormat="1" x14ac:dyDescent="0.25">
      <c r="A242" s="140" t="s">
        <v>560</v>
      </c>
      <c r="B242" s="54" t="s">
        <v>138</v>
      </c>
      <c r="C242" s="55">
        <v>2.2200000000000002</v>
      </c>
      <c r="D242" s="55">
        <v>4.38</v>
      </c>
      <c r="E242" s="55">
        <v>16.97</v>
      </c>
      <c r="F242" s="55">
        <v>121.1</v>
      </c>
      <c r="G242" s="55">
        <v>11.1</v>
      </c>
      <c r="H242" s="55">
        <v>21.58</v>
      </c>
      <c r="I242" s="55">
        <v>0.85</v>
      </c>
      <c r="J242" s="55">
        <v>12.84</v>
      </c>
      <c r="K242" s="120" t="s">
        <v>177</v>
      </c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  <c r="BH242" s="48"/>
      <c r="BI242" s="48"/>
      <c r="BJ242" s="48"/>
      <c r="BK242" s="48"/>
      <c r="BL242" s="48"/>
      <c r="BM242" s="48"/>
      <c r="BN242" s="48"/>
      <c r="BO242" s="48"/>
      <c r="BP242" s="48"/>
      <c r="BQ242" s="48"/>
      <c r="BR242" s="48"/>
      <c r="BS242" s="48"/>
      <c r="BT242" s="48"/>
      <c r="BU242" s="48"/>
      <c r="BV242" s="48"/>
      <c r="BW242" s="48"/>
      <c r="BX242" s="48"/>
      <c r="BY242" s="48"/>
      <c r="BZ242" s="48"/>
      <c r="CA242" s="48"/>
      <c r="CB242" s="48"/>
      <c r="CC242" s="48"/>
      <c r="CD242" s="48"/>
      <c r="CE242" s="48"/>
      <c r="CF242" s="48"/>
      <c r="CG242" s="48"/>
      <c r="CH242" s="48"/>
      <c r="CI242" s="48"/>
      <c r="CJ242" s="48"/>
      <c r="CK242" s="48"/>
      <c r="CL242" s="48"/>
      <c r="CM242" s="48"/>
      <c r="CN242" s="48"/>
      <c r="CO242" s="48"/>
      <c r="CP242" s="48"/>
      <c r="CQ242" s="48"/>
      <c r="CR242" s="48"/>
      <c r="CS242" s="48"/>
      <c r="CT242" s="48"/>
      <c r="CU242" s="48"/>
      <c r="CV242" s="48"/>
      <c r="CW242" s="48"/>
      <c r="CX242" s="48"/>
      <c r="CY242" s="48"/>
      <c r="CZ242" s="48"/>
      <c r="DA242" s="48"/>
      <c r="DB242" s="48"/>
      <c r="DC242" s="48"/>
      <c r="DD242" s="48"/>
      <c r="DE242" s="48"/>
      <c r="DF242" s="48"/>
      <c r="DG242" s="48"/>
      <c r="DH242" s="48"/>
      <c r="DI242" s="48"/>
      <c r="DJ242" s="48"/>
      <c r="DK242" s="48"/>
      <c r="DL242" s="48"/>
      <c r="DM242" s="48"/>
      <c r="DN242" s="48"/>
      <c r="DO242" s="48"/>
      <c r="DP242" s="48"/>
      <c r="DQ242" s="48"/>
      <c r="DR242" s="48"/>
      <c r="DS242" s="48"/>
      <c r="DT242" s="48"/>
      <c r="DU242" s="48"/>
      <c r="DV242" s="48"/>
      <c r="DW242" s="48"/>
      <c r="DX242" s="48"/>
      <c r="DY242" s="48"/>
      <c r="DZ242" s="48"/>
      <c r="EA242" s="48"/>
      <c r="EB242" s="48"/>
      <c r="EC242" s="48"/>
      <c r="ED242" s="48"/>
      <c r="EE242" s="48"/>
      <c r="EF242" s="48"/>
      <c r="EG242" s="48"/>
      <c r="EH242" s="48"/>
      <c r="EI242" s="48"/>
      <c r="EJ242" s="48"/>
      <c r="EK242" s="48"/>
      <c r="EL242" s="48"/>
      <c r="EM242" s="48"/>
      <c r="EN242" s="48"/>
      <c r="EO242" s="48"/>
      <c r="EP242" s="48"/>
      <c r="EQ242" s="48"/>
      <c r="ER242" s="48"/>
      <c r="ES242" s="48"/>
      <c r="ET242" s="48"/>
      <c r="EU242" s="48"/>
      <c r="EV242" s="48"/>
      <c r="EW242" s="48"/>
      <c r="EX242" s="48"/>
      <c r="EY242" s="48"/>
      <c r="EZ242" s="48"/>
      <c r="FA242" s="48"/>
      <c r="FB242" s="48"/>
      <c r="FC242" s="48"/>
      <c r="FD242" s="48"/>
      <c r="FE242" s="48"/>
      <c r="FF242" s="48"/>
      <c r="FG242" s="48"/>
      <c r="FH242" s="48"/>
      <c r="FI242" s="48"/>
      <c r="FJ242" s="48"/>
      <c r="FK242" s="48"/>
      <c r="FL242" s="48"/>
      <c r="FM242" s="48"/>
      <c r="FN242" s="48"/>
      <c r="FO242" s="48"/>
      <c r="FP242" s="48"/>
      <c r="FQ242" s="48"/>
      <c r="FR242" s="48"/>
      <c r="FS242" s="48"/>
      <c r="FT242" s="48"/>
      <c r="FU242" s="48"/>
      <c r="FV242" s="48"/>
      <c r="FW242" s="48"/>
      <c r="FX242" s="48"/>
      <c r="FY242" s="48"/>
      <c r="FZ242" s="48"/>
      <c r="GA242" s="48"/>
      <c r="GB242" s="48"/>
      <c r="GC242" s="48"/>
      <c r="GD242" s="48"/>
      <c r="GE242" s="48"/>
      <c r="GF242" s="48"/>
      <c r="GG242" s="48"/>
      <c r="GH242" s="48"/>
      <c r="GI242" s="48"/>
      <c r="GJ242" s="48"/>
      <c r="GK242" s="48"/>
      <c r="GL242" s="48"/>
      <c r="GM242" s="48"/>
      <c r="GN242" s="48"/>
      <c r="GO242" s="48"/>
      <c r="GP242" s="48"/>
      <c r="GQ242" s="48"/>
      <c r="GR242" s="48"/>
      <c r="GS242" s="48"/>
      <c r="GT242" s="48"/>
      <c r="GU242" s="48"/>
      <c r="GV242" s="48"/>
      <c r="GW242" s="48"/>
      <c r="GX242" s="48"/>
      <c r="GY242" s="48"/>
      <c r="GZ242" s="48"/>
      <c r="HA242" s="48"/>
      <c r="HB242" s="48"/>
      <c r="HC242" s="48"/>
      <c r="HD242" s="48"/>
      <c r="HE242" s="48"/>
      <c r="HF242" s="48"/>
      <c r="HG242" s="48"/>
      <c r="HH242" s="48"/>
      <c r="HI242" s="48"/>
      <c r="HJ242" s="48"/>
      <c r="HK242" s="48"/>
      <c r="HL242" s="48"/>
      <c r="HM242" s="48"/>
      <c r="HN242" s="48"/>
      <c r="HO242" s="48"/>
      <c r="HP242" s="48"/>
      <c r="HQ242" s="48"/>
      <c r="HR242" s="48"/>
      <c r="HS242" s="48"/>
      <c r="HT242" s="48"/>
      <c r="HU242" s="48"/>
      <c r="HV242" s="48"/>
      <c r="HW242" s="48"/>
      <c r="HX242" s="48"/>
      <c r="HY242" s="48"/>
      <c r="HZ242" s="48"/>
      <c r="IA242" s="48"/>
      <c r="IB242" s="48"/>
      <c r="IC242" s="48"/>
      <c r="ID242" s="48"/>
      <c r="IE242" s="48"/>
      <c r="IF242" s="48"/>
      <c r="IG242" s="48"/>
      <c r="IH242" s="48"/>
      <c r="II242" s="48"/>
      <c r="IJ242" s="48"/>
      <c r="IK242" s="48"/>
      <c r="IL242" s="48"/>
      <c r="IM242" s="48"/>
      <c r="IN242" s="48"/>
      <c r="IO242" s="48"/>
      <c r="IP242" s="48"/>
      <c r="IQ242" s="48"/>
      <c r="IR242" s="48"/>
      <c r="IS242" s="48"/>
      <c r="IT242" s="48"/>
      <c r="IU242" s="48"/>
      <c r="IV242" s="48"/>
      <c r="IW242" s="48"/>
      <c r="IX242" s="48"/>
      <c r="IY242" s="48"/>
      <c r="IZ242" s="48"/>
      <c r="JA242" s="48"/>
      <c r="JB242" s="48"/>
      <c r="JC242" s="48"/>
      <c r="JD242" s="48"/>
      <c r="JE242" s="48"/>
      <c r="JF242" s="48"/>
      <c r="JG242" s="48"/>
      <c r="JH242" s="48"/>
      <c r="JI242" s="48"/>
      <c r="JJ242" s="48"/>
      <c r="JK242" s="48"/>
      <c r="JL242" s="48"/>
      <c r="JM242" s="48"/>
      <c r="JN242" s="48"/>
      <c r="JO242" s="48"/>
      <c r="JP242" s="48"/>
      <c r="JQ242" s="48"/>
      <c r="JR242" s="48"/>
      <c r="JS242" s="48"/>
      <c r="JT242" s="48"/>
      <c r="JU242" s="48"/>
      <c r="JV242" s="48"/>
      <c r="JW242" s="48"/>
      <c r="JX242" s="48"/>
      <c r="JY242" s="48"/>
      <c r="JZ242" s="48"/>
      <c r="KA242" s="48"/>
      <c r="KB242" s="48"/>
      <c r="KC242" s="48"/>
      <c r="KD242" s="48"/>
      <c r="KE242" s="48"/>
      <c r="KF242" s="48"/>
      <c r="KG242" s="48"/>
      <c r="KH242" s="48"/>
      <c r="KI242" s="48"/>
      <c r="KJ242" s="48"/>
      <c r="KK242" s="48"/>
      <c r="KL242" s="48"/>
      <c r="KM242" s="48"/>
      <c r="KN242" s="48"/>
      <c r="KO242" s="48"/>
      <c r="KP242" s="48"/>
      <c r="KQ242" s="48"/>
      <c r="KR242" s="48"/>
      <c r="KS242" s="48"/>
      <c r="KT242" s="48"/>
      <c r="KU242" s="48"/>
      <c r="KV242" s="48"/>
      <c r="KW242" s="48"/>
      <c r="KX242" s="48"/>
      <c r="KY242" s="48"/>
      <c r="KZ242" s="48"/>
      <c r="LA242" s="48"/>
      <c r="LB242" s="48"/>
      <c r="LC242" s="48"/>
      <c r="LD242" s="48"/>
      <c r="LE242" s="48"/>
      <c r="LF242" s="48"/>
      <c r="LG242" s="48"/>
      <c r="LH242" s="48"/>
      <c r="LI242" s="48"/>
      <c r="LJ242" s="48"/>
      <c r="LK242" s="48"/>
      <c r="LL242" s="48"/>
      <c r="LM242" s="48"/>
      <c r="LN242" s="48"/>
      <c r="LO242" s="48"/>
      <c r="LP242" s="48"/>
      <c r="LQ242" s="48"/>
      <c r="LR242" s="48"/>
      <c r="LS242" s="48"/>
      <c r="LT242" s="48"/>
      <c r="LU242" s="48"/>
      <c r="LV242" s="48"/>
      <c r="LW242" s="48"/>
      <c r="LX242" s="48"/>
      <c r="LY242" s="48"/>
      <c r="LZ242" s="48"/>
      <c r="MA242" s="48"/>
      <c r="MB242" s="48"/>
      <c r="MC242" s="48"/>
      <c r="MD242" s="48"/>
      <c r="ME242" s="48"/>
      <c r="MF242" s="48"/>
      <c r="MG242" s="48"/>
      <c r="MH242" s="48"/>
      <c r="MI242" s="48"/>
      <c r="MJ242" s="48"/>
      <c r="MK242" s="48"/>
      <c r="ML242" s="48"/>
      <c r="MM242" s="48"/>
      <c r="MN242" s="48"/>
      <c r="MO242" s="48"/>
      <c r="MP242" s="48"/>
      <c r="MQ242" s="48"/>
      <c r="MR242" s="48"/>
      <c r="MS242" s="48"/>
      <c r="MT242" s="48"/>
      <c r="MU242" s="48"/>
      <c r="MV242" s="48"/>
      <c r="MW242" s="48"/>
      <c r="MX242" s="48"/>
      <c r="MY242" s="48"/>
      <c r="MZ242" s="48"/>
      <c r="NA242" s="48"/>
      <c r="NB242" s="48"/>
      <c r="NC242" s="48"/>
      <c r="ND242" s="48"/>
      <c r="NE242" s="48"/>
      <c r="NF242" s="48"/>
      <c r="NG242" s="48"/>
      <c r="NH242" s="48"/>
      <c r="NI242" s="48"/>
      <c r="NJ242" s="48"/>
      <c r="NK242" s="48"/>
      <c r="NL242" s="48"/>
      <c r="NM242" s="48"/>
      <c r="NN242" s="48"/>
      <c r="NO242" s="48"/>
      <c r="NP242" s="48"/>
      <c r="NQ242" s="48"/>
      <c r="NR242" s="48"/>
      <c r="NS242" s="48"/>
      <c r="NT242" s="48"/>
      <c r="NU242" s="48"/>
      <c r="NV242" s="48"/>
      <c r="NW242" s="48"/>
      <c r="NX242" s="48"/>
      <c r="NY242" s="48"/>
      <c r="NZ242" s="48"/>
      <c r="OA242" s="48"/>
      <c r="OB242" s="48"/>
      <c r="OC242" s="48"/>
      <c r="OD242" s="48"/>
      <c r="OE242" s="48"/>
      <c r="OF242" s="48"/>
      <c r="OG242" s="48"/>
      <c r="OH242" s="48"/>
      <c r="OI242" s="48"/>
      <c r="OJ242" s="48"/>
      <c r="OK242" s="48"/>
      <c r="OL242" s="48"/>
      <c r="OM242" s="48"/>
      <c r="ON242" s="48"/>
      <c r="OO242" s="48"/>
      <c r="OP242" s="48"/>
      <c r="OQ242" s="48"/>
      <c r="OR242" s="48"/>
      <c r="OS242" s="48"/>
      <c r="OT242" s="48"/>
      <c r="OU242" s="48"/>
      <c r="OV242" s="48"/>
      <c r="OW242" s="48"/>
      <c r="OX242" s="48"/>
      <c r="OY242" s="48"/>
      <c r="OZ242" s="48"/>
      <c r="PA242" s="48"/>
      <c r="PB242" s="48"/>
      <c r="PC242" s="48"/>
      <c r="PD242" s="48"/>
      <c r="PE242" s="48"/>
      <c r="PF242" s="48"/>
      <c r="PG242" s="48"/>
      <c r="PH242" s="48"/>
      <c r="PI242" s="48"/>
      <c r="PJ242" s="48"/>
      <c r="PK242" s="48"/>
      <c r="PL242" s="48"/>
      <c r="PM242" s="48"/>
      <c r="PN242" s="48"/>
      <c r="PO242" s="48"/>
      <c r="PP242" s="48"/>
      <c r="PQ242" s="48"/>
      <c r="PR242" s="48"/>
      <c r="PS242" s="48"/>
      <c r="PT242" s="48"/>
      <c r="PU242" s="48"/>
      <c r="PV242" s="48"/>
      <c r="PW242" s="48"/>
      <c r="PX242" s="48"/>
      <c r="PY242" s="48"/>
      <c r="PZ242" s="48"/>
      <c r="QA242" s="48"/>
      <c r="QB242" s="48"/>
      <c r="QC242" s="48"/>
      <c r="QD242" s="48"/>
      <c r="QE242" s="48"/>
      <c r="QF242" s="48"/>
      <c r="QG242" s="48"/>
      <c r="QH242" s="48"/>
      <c r="QI242" s="48"/>
      <c r="QJ242" s="48"/>
      <c r="QK242" s="48"/>
      <c r="QL242" s="48"/>
      <c r="QM242" s="48"/>
      <c r="QN242" s="48"/>
      <c r="QO242" s="48"/>
      <c r="QP242" s="48"/>
      <c r="QQ242" s="48"/>
      <c r="QR242" s="48"/>
      <c r="QS242" s="48"/>
      <c r="QT242" s="48"/>
      <c r="QU242" s="48"/>
      <c r="QV242" s="48"/>
      <c r="QW242" s="48"/>
      <c r="QX242" s="48"/>
      <c r="QY242" s="48"/>
      <c r="QZ242" s="48"/>
      <c r="RA242" s="48"/>
      <c r="RB242" s="48"/>
      <c r="RC242" s="48"/>
      <c r="RD242" s="48"/>
      <c r="RE242" s="48"/>
      <c r="RF242" s="48"/>
      <c r="RG242" s="48"/>
      <c r="RH242" s="48"/>
      <c r="RI242" s="48"/>
      <c r="RJ242" s="48"/>
      <c r="RK242" s="48"/>
      <c r="RL242" s="48"/>
      <c r="RM242" s="48"/>
      <c r="RN242" s="48"/>
      <c r="RO242" s="48"/>
      <c r="RP242" s="48"/>
      <c r="RQ242" s="48"/>
      <c r="RR242" s="48"/>
      <c r="RS242" s="48"/>
      <c r="RT242" s="48"/>
      <c r="RU242" s="48"/>
      <c r="RV242" s="48"/>
      <c r="RW242" s="48"/>
      <c r="RX242" s="48"/>
      <c r="RY242" s="48"/>
      <c r="RZ242" s="48"/>
      <c r="SA242" s="48"/>
      <c r="SB242" s="48"/>
      <c r="SC242" s="48"/>
      <c r="SD242" s="48"/>
      <c r="SE242" s="48"/>
      <c r="SF242" s="48"/>
      <c r="SG242" s="48"/>
      <c r="SH242" s="48"/>
      <c r="SI242" s="48"/>
      <c r="SJ242" s="48"/>
      <c r="SK242" s="48"/>
      <c r="SL242" s="48"/>
      <c r="SM242" s="48"/>
      <c r="SN242" s="48"/>
      <c r="SO242" s="48"/>
      <c r="SP242" s="48"/>
      <c r="SQ242" s="48"/>
      <c r="SR242" s="48"/>
      <c r="SS242" s="48"/>
      <c r="ST242" s="48"/>
      <c r="SU242" s="48"/>
      <c r="SV242" s="48"/>
      <c r="SW242" s="48"/>
      <c r="SX242" s="48"/>
      <c r="SY242" s="48"/>
      <c r="SZ242" s="48"/>
      <c r="TA242" s="48"/>
      <c r="TB242" s="48"/>
      <c r="TC242" s="48"/>
      <c r="TD242" s="48"/>
      <c r="TE242" s="48"/>
      <c r="TF242" s="48"/>
      <c r="TG242" s="48"/>
      <c r="TH242" s="48"/>
      <c r="TI242" s="48"/>
      <c r="TJ242" s="48"/>
      <c r="TK242" s="48"/>
      <c r="TL242" s="48"/>
      <c r="TM242" s="48"/>
      <c r="TN242" s="48"/>
      <c r="TO242" s="48"/>
      <c r="TP242" s="48"/>
      <c r="TQ242" s="48"/>
      <c r="TR242" s="48"/>
      <c r="TS242" s="48"/>
      <c r="TT242" s="48"/>
      <c r="TU242" s="48"/>
      <c r="TV242" s="48"/>
      <c r="TW242" s="48"/>
      <c r="TX242" s="48"/>
      <c r="TY242" s="48"/>
      <c r="TZ242" s="48"/>
      <c r="UA242" s="48"/>
      <c r="UB242" s="48"/>
      <c r="UC242" s="48"/>
      <c r="UD242" s="48"/>
      <c r="UE242" s="48"/>
      <c r="UF242" s="48"/>
      <c r="UG242" s="48"/>
      <c r="UH242" s="48"/>
      <c r="UI242" s="48"/>
      <c r="UJ242" s="48"/>
      <c r="UK242" s="48"/>
      <c r="UL242" s="48"/>
      <c r="UM242" s="48"/>
      <c r="UN242" s="48"/>
      <c r="UO242" s="48"/>
      <c r="UP242" s="48"/>
      <c r="UQ242" s="48"/>
      <c r="UR242" s="48"/>
      <c r="US242" s="48"/>
      <c r="UT242" s="48"/>
      <c r="UU242" s="48"/>
      <c r="UV242" s="48"/>
      <c r="UW242" s="48"/>
      <c r="UX242" s="48"/>
      <c r="UY242" s="48"/>
      <c r="UZ242" s="48"/>
      <c r="VA242" s="48"/>
      <c r="VB242" s="48"/>
      <c r="VC242" s="48"/>
      <c r="VD242" s="48"/>
      <c r="VE242" s="48"/>
      <c r="VF242" s="48"/>
      <c r="VG242" s="48"/>
      <c r="VH242" s="48"/>
      <c r="VI242" s="48"/>
      <c r="VJ242" s="48"/>
      <c r="VK242" s="48"/>
      <c r="VL242" s="48"/>
      <c r="VM242" s="48"/>
      <c r="VN242" s="48"/>
      <c r="VO242" s="48"/>
      <c r="VP242" s="48"/>
      <c r="VQ242" s="48"/>
      <c r="VR242" s="48"/>
      <c r="VS242" s="48"/>
      <c r="VT242" s="48"/>
      <c r="VU242" s="48"/>
      <c r="VV242" s="48"/>
      <c r="VW242" s="48"/>
      <c r="VX242" s="48"/>
      <c r="VY242" s="48"/>
      <c r="VZ242" s="48"/>
      <c r="WA242" s="48"/>
      <c r="WB242" s="48"/>
      <c r="WC242" s="48"/>
      <c r="WD242" s="48"/>
      <c r="WE242" s="48"/>
      <c r="WF242" s="48"/>
      <c r="WG242" s="48"/>
      <c r="WH242" s="48"/>
      <c r="WI242" s="48"/>
      <c r="WJ242" s="48"/>
      <c r="WK242" s="48"/>
      <c r="WL242" s="48"/>
      <c r="WM242" s="48"/>
      <c r="WN242" s="48"/>
      <c r="WO242" s="48"/>
      <c r="WP242" s="48"/>
      <c r="WQ242" s="48"/>
      <c r="WR242" s="48"/>
      <c r="WS242" s="48"/>
      <c r="WT242" s="48"/>
      <c r="WU242" s="48"/>
      <c r="WV242" s="48"/>
      <c r="WW242" s="48"/>
      <c r="WX242" s="48"/>
      <c r="WY242" s="48"/>
      <c r="WZ242" s="48"/>
      <c r="XA242" s="48"/>
      <c r="XB242" s="48"/>
      <c r="XC242" s="48"/>
      <c r="XD242" s="48"/>
      <c r="XE242" s="48"/>
      <c r="XF242" s="48"/>
      <c r="XG242" s="48"/>
      <c r="XH242" s="48"/>
      <c r="XI242" s="48"/>
      <c r="XJ242" s="48"/>
      <c r="XK242" s="48"/>
      <c r="XL242" s="48"/>
      <c r="XM242" s="48"/>
      <c r="XN242" s="48"/>
      <c r="XO242" s="48"/>
      <c r="XP242" s="48"/>
      <c r="XQ242" s="48"/>
      <c r="XR242" s="48"/>
      <c r="XS242" s="48"/>
      <c r="XT242" s="48"/>
      <c r="XU242" s="48"/>
      <c r="XV242" s="48"/>
      <c r="XW242" s="48"/>
      <c r="XX242" s="48"/>
      <c r="XY242" s="48"/>
      <c r="XZ242" s="48"/>
      <c r="YA242" s="48"/>
      <c r="YB242" s="48"/>
      <c r="YC242" s="48"/>
      <c r="YD242" s="48"/>
      <c r="YE242" s="48"/>
      <c r="YF242" s="48"/>
      <c r="YG242" s="48"/>
      <c r="YH242" s="48"/>
      <c r="YI242" s="48"/>
      <c r="YJ242" s="48"/>
      <c r="YK242" s="48"/>
      <c r="YL242" s="48"/>
      <c r="YM242" s="48"/>
      <c r="YN242" s="48"/>
      <c r="YO242" s="48"/>
      <c r="YP242" s="48"/>
      <c r="YQ242" s="48"/>
      <c r="YR242" s="48"/>
      <c r="YS242" s="48"/>
      <c r="YT242" s="48"/>
      <c r="YU242" s="48"/>
      <c r="YV242" s="48"/>
      <c r="YW242" s="48"/>
      <c r="YX242" s="48"/>
      <c r="YY242" s="48"/>
      <c r="YZ242" s="48"/>
      <c r="ZA242" s="48"/>
      <c r="ZB242" s="48"/>
      <c r="ZC242" s="48"/>
      <c r="ZD242" s="48"/>
      <c r="ZE242" s="48"/>
      <c r="ZF242" s="48"/>
      <c r="ZG242" s="48"/>
      <c r="ZH242" s="48"/>
      <c r="ZI242" s="48"/>
      <c r="ZJ242" s="48"/>
      <c r="ZK242" s="48"/>
      <c r="ZL242" s="48"/>
      <c r="ZM242" s="48"/>
      <c r="ZN242" s="48"/>
      <c r="ZO242" s="48"/>
      <c r="ZP242" s="48"/>
      <c r="ZQ242" s="48"/>
      <c r="ZR242" s="48"/>
      <c r="ZS242" s="48"/>
      <c r="ZT242" s="48"/>
      <c r="ZU242" s="48"/>
      <c r="ZV242" s="48"/>
      <c r="ZW242" s="48"/>
      <c r="ZX242" s="48"/>
      <c r="ZY242" s="48"/>
      <c r="ZZ242" s="48"/>
      <c r="AAA242" s="48"/>
      <c r="AAB242" s="48"/>
      <c r="AAC242" s="48"/>
      <c r="AAD242" s="48"/>
      <c r="AAE242" s="48"/>
      <c r="AAF242" s="48"/>
      <c r="AAG242" s="48"/>
      <c r="AAH242" s="48"/>
      <c r="AAI242" s="48"/>
      <c r="AAJ242" s="48"/>
      <c r="AAK242" s="48"/>
      <c r="AAL242" s="48"/>
      <c r="AAM242" s="48"/>
      <c r="AAN242" s="48"/>
      <c r="AAO242" s="48"/>
      <c r="AAP242" s="48"/>
      <c r="AAQ242" s="48"/>
      <c r="AAR242" s="48"/>
      <c r="AAS242" s="48"/>
      <c r="AAT242" s="48"/>
      <c r="AAU242" s="48"/>
      <c r="AAV242" s="48"/>
      <c r="AAW242" s="48"/>
      <c r="AAX242" s="48"/>
      <c r="AAY242" s="48"/>
      <c r="AAZ242" s="48"/>
      <c r="ABA242" s="48"/>
      <c r="ABB242" s="48"/>
      <c r="ABC242" s="48"/>
      <c r="ABD242" s="48"/>
      <c r="ABE242" s="48"/>
      <c r="ABF242" s="48"/>
      <c r="ABG242" s="48"/>
      <c r="ABH242" s="48"/>
      <c r="ABI242" s="48"/>
      <c r="ABJ242" s="48"/>
      <c r="ABK242" s="48"/>
      <c r="ABL242" s="48"/>
      <c r="ABM242" s="48"/>
      <c r="ABN242" s="48"/>
      <c r="ABO242" s="48"/>
      <c r="ABP242" s="48"/>
      <c r="ABQ242" s="48"/>
      <c r="ABR242" s="48"/>
      <c r="ABS242" s="48"/>
      <c r="ABT242" s="48"/>
      <c r="ABU242" s="48"/>
      <c r="ABV242" s="48"/>
      <c r="ABW242" s="48"/>
      <c r="ABX242" s="48"/>
      <c r="ABY242" s="48"/>
      <c r="ABZ242" s="48"/>
      <c r="ACA242" s="48"/>
      <c r="ACB242" s="48"/>
      <c r="ACC242" s="48"/>
      <c r="ACD242" s="48"/>
      <c r="ACE242" s="48"/>
      <c r="ACF242" s="48"/>
      <c r="ACG242" s="48"/>
      <c r="ACH242" s="48"/>
      <c r="ACI242" s="48"/>
      <c r="ACJ242" s="48"/>
      <c r="ACK242" s="48"/>
      <c r="ACL242" s="48"/>
      <c r="ACM242" s="48"/>
      <c r="ACN242" s="48"/>
      <c r="ACO242" s="48"/>
      <c r="ACP242" s="48"/>
      <c r="ACQ242" s="48"/>
      <c r="ACR242" s="48"/>
      <c r="ACS242" s="48"/>
      <c r="ACT242" s="48"/>
      <c r="ACU242" s="48"/>
      <c r="ACV242" s="48"/>
      <c r="ACW242" s="48"/>
      <c r="ACX242" s="48"/>
      <c r="ACY242" s="48"/>
      <c r="ACZ242" s="48"/>
      <c r="ADA242" s="48"/>
      <c r="ADB242" s="48"/>
      <c r="ADC242" s="48"/>
      <c r="ADD242" s="48"/>
      <c r="ADE242" s="48"/>
      <c r="ADF242" s="48"/>
      <c r="ADG242" s="48"/>
      <c r="ADH242" s="48"/>
      <c r="ADI242" s="48"/>
      <c r="ADJ242" s="48"/>
      <c r="ADK242" s="48"/>
      <c r="ADL242" s="48"/>
      <c r="ADM242" s="48"/>
      <c r="ADN242" s="48"/>
      <c r="ADO242" s="48"/>
      <c r="ADP242" s="48"/>
      <c r="ADQ242" s="48"/>
      <c r="ADR242" s="48"/>
      <c r="ADS242" s="48"/>
      <c r="ADT242" s="48"/>
      <c r="ADU242" s="48"/>
      <c r="ADV242" s="48"/>
      <c r="ADW242" s="48"/>
      <c r="ADX242" s="48"/>
      <c r="ADY242" s="48"/>
      <c r="ADZ242" s="48"/>
      <c r="AEA242" s="48"/>
      <c r="AEB242" s="48"/>
      <c r="AEC242" s="48"/>
      <c r="AED242" s="48"/>
      <c r="AEE242" s="48"/>
      <c r="AEF242" s="48"/>
      <c r="AEG242" s="48"/>
      <c r="AEH242" s="48"/>
      <c r="AEI242" s="48"/>
      <c r="AEJ242" s="48"/>
      <c r="AEK242" s="48"/>
      <c r="AEL242" s="48"/>
      <c r="AEM242" s="48"/>
      <c r="AEN242" s="48"/>
      <c r="AEO242" s="48"/>
      <c r="AEP242" s="48"/>
      <c r="AEQ242" s="48"/>
      <c r="AER242" s="48"/>
      <c r="AES242" s="48"/>
      <c r="AET242" s="48"/>
      <c r="AEU242" s="48"/>
      <c r="AEV242" s="48"/>
      <c r="AEW242" s="48"/>
      <c r="AEX242" s="48"/>
      <c r="AEY242" s="48"/>
      <c r="AEZ242" s="48"/>
      <c r="AFA242" s="48"/>
      <c r="AFB242" s="48"/>
      <c r="AFC242" s="48"/>
      <c r="AFD242" s="48"/>
      <c r="AFE242" s="48"/>
      <c r="AFF242" s="48"/>
      <c r="AFG242" s="48"/>
      <c r="AFH242" s="48"/>
      <c r="AFI242" s="48"/>
      <c r="AFJ242" s="48"/>
      <c r="AFK242" s="48"/>
      <c r="AFL242" s="48"/>
      <c r="AFM242" s="48"/>
      <c r="AFN242" s="48"/>
      <c r="AFO242" s="48"/>
      <c r="AFP242" s="48"/>
      <c r="AFQ242" s="48"/>
      <c r="AFR242" s="48"/>
      <c r="AFS242" s="48"/>
      <c r="AFT242" s="48"/>
      <c r="AFU242" s="48"/>
      <c r="AFV242" s="48"/>
      <c r="AFW242" s="48"/>
      <c r="AFX242" s="48"/>
      <c r="AFY242" s="48"/>
      <c r="AFZ242" s="48"/>
      <c r="AGA242" s="48"/>
      <c r="AGB242" s="48"/>
      <c r="AGC242" s="48"/>
      <c r="AGD242" s="48"/>
      <c r="AGE242" s="48"/>
      <c r="AGF242" s="48"/>
      <c r="AGG242" s="48"/>
      <c r="AGH242" s="48"/>
      <c r="AGI242" s="48"/>
      <c r="AGJ242" s="48"/>
      <c r="AGK242" s="48"/>
      <c r="AGL242" s="48"/>
      <c r="AGM242" s="48"/>
      <c r="AGN242" s="48"/>
      <c r="AGO242" s="48"/>
      <c r="AGP242" s="48"/>
      <c r="AGQ242" s="48"/>
      <c r="AGR242" s="48"/>
      <c r="AGS242" s="48"/>
      <c r="AGT242" s="48"/>
      <c r="AGU242" s="48"/>
      <c r="AGV242" s="48"/>
      <c r="AGW242" s="48"/>
      <c r="AGX242" s="48"/>
      <c r="AGY242" s="48"/>
      <c r="AGZ242" s="48"/>
      <c r="AHA242" s="48"/>
      <c r="AHB242" s="48"/>
      <c r="AHC242" s="48"/>
      <c r="AHD242" s="48"/>
      <c r="AHE242" s="48"/>
      <c r="AHF242" s="48"/>
      <c r="AHG242" s="48"/>
      <c r="AHH242" s="48"/>
      <c r="AHI242" s="48"/>
      <c r="AHJ242" s="48"/>
      <c r="AHK242" s="48"/>
      <c r="AHL242" s="48"/>
      <c r="AHM242" s="48"/>
      <c r="AHN242" s="48"/>
      <c r="AHO242" s="48"/>
      <c r="AHP242" s="48"/>
      <c r="AHQ242" s="48"/>
      <c r="AHR242" s="48"/>
      <c r="AHS242" s="48"/>
      <c r="AHT242" s="48"/>
      <c r="AHU242" s="48"/>
      <c r="AHV242" s="48"/>
      <c r="AHW242" s="48"/>
      <c r="AHX242" s="48"/>
      <c r="AHY242" s="48"/>
      <c r="AHZ242" s="48"/>
      <c r="AIA242" s="48"/>
      <c r="AIB242" s="48"/>
      <c r="AIC242" s="48"/>
      <c r="AID242" s="48"/>
      <c r="AIE242" s="48"/>
      <c r="AIF242" s="48"/>
      <c r="AIG242" s="48"/>
      <c r="AIH242" s="48"/>
      <c r="AII242" s="48"/>
      <c r="AIJ242" s="48"/>
      <c r="AIK242" s="48"/>
      <c r="AIL242" s="48"/>
      <c r="AIM242" s="48"/>
      <c r="AIN242" s="48"/>
      <c r="AIO242" s="48"/>
      <c r="AIP242" s="48"/>
      <c r="AIQ242" s="48"/>
      <c r="AIR242" s="48"/>
      <c r="AIS242" s="48"/>
      <c r="AIT242" s="48"/>
      <c r="AIU242" s="48"/>
      <c r="AIV242" s="48"/>
      <c r="AIW242" s="48"/>
      <c r="AIX242" s="48"/>
      <c r="AIY242" s="48"/>
      <c r="AIZ242" s="48"/>
      <c r="AJA242" s="48"/>
      <c r="AJB242" s="48"/>
      <c r="AJC242" s="48"/>
      <c r="AJD242" s="48"/>
      <c r="AJE242" s="48"/>
      <c r="AJF242" s="48"/>
      <c r="AJG242" s="48"/>
      <c r="AJH242" s="48"/>
      <c r="AJI242" s="48"/>
      <c r="AJJ242" s="48"/>
      <c r="AJK242" s="48"/>
      <c r="AJL242" s="48"/>
      <c r="AJM242" s="48"/>
      <c r="AJN242" s="48"/>
      <c r="AJO242" s="48"/>
      <c r="AJP242" s="48"/>
      <c r="AJQ242" s="48"/>
      <c r="AJR242" s="48"/>
      <c r="AJS242" s="48"/>
      <c r="AJT242" s="48"/>
      <c r="AJU242" s="48"/>
      <c r="AJV242" s="48"/>
      <c r="AJW242" s="48"/>
      <c r="AJX242" s="48"/>
      <c r="AJY242" s="48"/>
      <c r="AJZ242" s="48"/>
      <c r="AKA242" s="48"/>
      <c r="AKB242" s="48"/>
      <c r="AKC242" s="48"/>
      <c r="AKD242" s="48"/>
      <c r="AKE242" s="48"/>
      <c r="AKF242" s="48"/>
      <c r="AKG242" s="48"/>
      <c r="AKH242" s="48"/>
      <c r="AKI242" s="48"/>
      <c r="AKJ242" s="48"/>
      <c r="AKK242" s="48"/>
      <c r="AKL242" s="48"/>
      <c r="AKM242" s="48"/>
      <c r="AKN242" s="48"/>
      <c r="AKO242" s="48"/>
      <c r="AKP242" s="48"/>
      <c r="AKQ242" s="48"/>
      <c r="AKR242" s="48"/>
      <c r="AKS242" s="48"/>
      <c r="AKT242" s="48"/>
      <c r="AKU242" s="48"/>
      <c r="AKV242" s="48"/>
      <c r="AKW242" s="48"/>
      <c r="AKX242" s="48"/>
      <c r="AKY242" s="48"/>
      <c r="AKZ242" s="48"/>
      <c r="ALA242" s="48"/>
      <c r="ALB242" s="48"/>
      <c r="ALC242" s="48"/>
      <c r="ALD242" s="48"/>
      <c r="ALE242" s="48"/>
      <c r="ALF242" s="48"/>
      <c r="ALG242" s="48"/>
      <c r="ALH242" s="48"/>
      <c r="ALI242" s="48"/>
      <c r="ALJ242" s="48"/>
      <c r="ALK242" s="48"/>
      <c r="ALL242" s="48"/>
      <c r="ALM242" s="48"/>
      <c r="ALN242" s="48"/>
      <c r="ALO242" s="48"/>
      <c r="ALP242" s="48"/>
      <c r="ALQ242" s="48"/>
      <c r="ALR242" s="48"/>
      <c r="ALS242" s="48"/>
      <c r="ALT242" s="48"/>
      <c r="ALU242" s="48"/>
      <c r="ALV242" s="48"/>
      <c r="ALW242" s="48"/>
      <c r="ALX242" s="48"/>
      <c r="ALY242" s="48"/>
      <c r="ALZ242" s="48"/>
      <c r="AMA242" s="48"/>
      <c r="AMB242" s="48"/>
      <c r="AMC242" s="48"/>
      <c r="AMD242" s="48"/>
      <c r="AME242" s="48"/>
      <c r="AMF242" s="48"/>
      <c r="AMG242" s="48"/>
      <c r="AMH242" s="48"/>
      <c r="AMI242" s="48"/>
      <c r="AMJ242" s="48"/>
      <c r="AMK242" s="48"/>
    </row>
    <row r="243" spans="1:1025" s="80" customFormat="1" x14ac:dyDescent="0.25">
      <c r="A243" s="140" t="s">
        <v>561</v>
      </c>
      <c r="B243" s="54" t="s">
        <v>138</v>
      </c>
      <c r="C243" s="55">
        <v>15.7</v>
      </c>
      <c r="D243" s="55">
        <v>15.7</v>
      </c>
      <c r="E243" s="55">
        <v>19.8</v>
      </c>
      <c r="F243" s="55">
        <v>289</v>
      </c>
      <c r="G243" s="55">
        <v>24.5</v>
      </c>
      <c r="H243" s="55">
        <v>2.8</v>
      </c>
      <c r="I243" s="55">
        <v>0</v>
      </c>
      <c r="J243" s="55">
        <v>10.7</v>
      </c>
      <c r="K243" s="120" t="s">
        <v>284</v>
      </c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  <c r="BH243" s="48"/>
      <c r="BI243" s="48"/>
      <c r="BJ243" s="48"/>
      <c r="BK243" s="48"/>
      <c r="BL243" s="48"/>
      <c r="BM243" s="48"/>
      <c r="BN243" s="48"/>
      <c r="BO243" s="48"/>
      <c r="BP243" s="48"/>
      <c r="BQ243" s="48"/>
      <c r="BR243" s="48"/>
      <c r="BS243" s="48"/>
      <c r="BT243" s="48"/>
      <c r="BU243" s="48"/>
      <c r="BV243" s="48"/>
      <c r="BW243" s="48"/>
      <c r="BX243" s="48"/>
      <c r="BY243" s="48"/>
      <c r="BZ243" s="48"/>
      <c r="CA243" s="48"/>
      <c r="CB243" s="48"/>
      <c r="CC243" s="48"/>
      <c r="CD243" s="48"/>
      <c r="CE243" s="48"/>
      <c r="CF243" s="48"/>
      <c r="CG243" s="48"/>
      <c r="CH243" s="48"/>
      <c r="CI243" s="48"/>
      <c r="CJ243" s="48"/>
      <c r="CK243" s="48"/>
      <c r="CL243" s="48"/>
      <c r="CM243" s="48"/>
      <c r="CN243" s="48"/>
      <c r="CO243" s="48"/>
      <c r="CP243" s="48"/>
      <c r="CQ243" s="48"/>
      <c r="CR243" s="48"/>
      <c r="CS243" s="48"/>
      <c r="CT243" s="48"/>
      <c r="CU243" s="48"/>
      <c r="CV243" s="48"/>
      <c r="CW243" s="48"/>
      <c r="CX243" s="48"/>
      <c r="CY243" s="48"/>
      <c r="CZ243" s="48"/>
      <c r="DA243" s="48"/>
      <c r="DB243" s="48"/>
      <c r="DC243" s="48"/>
      <c r="DD243" s="48"/>
      <c r="DE243" s="48"/>
      <c r="DF243" s="48"/>
      <c r="DG243" s="48"/>
      <c r="DH243" s="48"/>
      <c r="DI243" s="48"/>
      <c r="DJ243" s="48"/>
      <c r="DK243" s="48"/>
      <c r="DL243" s="48"/>
      <c r="DM243" s="48"/>
      <c r="DN243" s="48"/>
      <c r="DO243" s="48"/>
      <c r="DP243" s="48"/>
      <c r="DQ243" s="48"/>
      <c r="DR243" s="48"/>
      <c r="DS243" s="48"/>
      <c r="DT243" s="48"/>
      <c r="DU243" s="48"/>
      <c r="DV243" s="48"/>
      <c r="DW243" s="48"/>
      <c r="DX243" s="48"/>
      <c r="DY243" s="48"/>
      <c r="DZ243" s="48"/>
      <c r="EA243" s="48"/>
      <c r="EB243" s="48"/>
      <c r="EC243" s="48"/>
      <c r="ED243" s="48"/>
      <c r="EE243" s="48"/>
      <c r="EF243" s="48"/>
      <c r="EG243" s="48"/>
      <c r="EH243" s="48"/>
      <c r="EI243" s="48"/>
      <c r="EJ243" s="48"/>
      <c r="EK243" s="48"/>
      <c r="EL243" s="48"/>
      <c r="EM243" s="48"/>
      <c r="EN243" s="48"/>
      <c r="EO243" s="48"/>
      <c r="EP243" s="48"/>
      <c r="EQ243" s="48"/>
      <c r="ER243" s="48"/>
      <c r="ES243" s="48"/>
      <c r="ET243" s="48"/>
      <c r="EU243" s="48"/>
      <c r="EV243" s="48"/>
      <c r="EW243" s="48"/>
      <c r="EX243" s="48"/>
      <c r="EY243" s="48"/>
      <c r="EZ243" s="48"/>
      <c r="FA243" s="48"/>
      <c r="FB243" s="48"/>
      <c r="FC243" s="48"/>
      <c r="FD243" s="48"/>
      <c r="FE243" s="48"/>
      <c r="FF243" s="48"/>
      <c r="FG243" s="48"/>
      <c r="FH243" s="48"/>
      <c r="FI243" s="48"/>
      <c r="FJ243" s="48"/>
      <c r="FK243" s="48"/>
      <c r="FL243" s="48"/>
      <c r="FM243" s="48"/>
      <c r="FN243" s="48"/>
      <c r="FO243" s="48"/>
      <c r="FP243" s="48"/>
      <c r="FQ243" s="48"/>
      <c r="FR243" s="48"/>
      <c r="FS243" s="48"/>
      <c r="FT243" s="48"/>
      <c r="FU243" s="48"/>
      <c r="FV243" s="48"/>
      <c r="FW243" s="48"/>
      <c r="FX243" s="48"/>
      <c r="FY243" s="48"/>
      <c r="FZ243" s="48"/>
      <c r="GA243" s="48"/>
      <c r="GB243" s="48"/>
      <c r="GC243" s="48"/>
      <c r="GD243" s="48"/>
      <c r="GE243" s="48"/>
      <c r="GF243" s="48"/>
      <c r="GG243" s="48"/>
      <c r="GH243" s="48"/>
      <c r="GI243" s="48"/>
      <c r="GJ243" s="48"/>
      <c r="GK243" s="48"/>
      <c r="GL243" s="48"/>
      <c r="GM243" s="48"/>
      <c r="GN243" s="48"/>
      <c r="GO243" s="48"/>
      <c r="GP243" s="48"/>
      <c r="GQ243" s="48"/>
      <c r="GR243" s="48"/>
      <c r="GS243" s="48"/>
      <c r="GT243" s="48"/>
      <c r="GU243" s="48"/>
      <c r="GV243" s="48"/>
      <c r="GW243" s="48"/>
      <c r="GX243" s="48"/>
      <c r="GY243" s="48"/>
      <c r="GZ243" s="48"/>
      <c r="HA243" s="48"/>
      <c r="HB243" s="48"/>
      <c r="HC243" s="48"/>
      <c r="HD243" s="48"/>
      <c r="HE243" s="48"/>
      <c r="HF243" s="48"/>
      <c r="HG243" s="48"/>
      <c r="HH243" s="48"/>
      <c r="HI243" s="48"/>
      <c r="HJ243" s="48"/>
      <c r="HK243" s="48"/>
      <c r="HL243" s="48"/>
      <c r="HM243" s="48"/>
      <c r="HN243" s="48"/>
      <c r="HO243" s="48"/>
      <c r="HP243" s="48"/>
      <c r="HQ243" s="48"/>
      <c r="HR243" s="48"/>
      <c r="HS243" s="48"/>
      <c r="HT243" s="48"/>
      <c r="HU243" s="48"/>
      <c r="HV243" s="48"/>
      <c r="HW243" s="48"/>
      <c r="HX243" s="48"/>
      <c r="HY243" s="48"/>
      <c r="HZ243" s="48"/>
      <c r="IA243" s="48"/>
      <c r="IB243" s="48"/>
      <c r="IC243" s="48"/>
      <c r="ID243" s="48"/>
      <c r="IE243" s="48"/>
      <c r="IF243" s="48"/>
      <c r="IG243" s="48"/>
      <c r="IH243" s="48"/>
      <c r="II243" s="48"/>
      <c r="IJ243" s="48"/>
      <c r="IK243" s="48"/>
      <c r="IL243" s="48"/>
      <c r="IM243" s="48"/>
      <c r="IN243" s="48"/>
      <c r="IO243" s="48"/>
      <c r="IP243" s="48"/>
      <c r="IQ243" s="48"/>
      <c r="IR243" s="48"/>
      <c r="IS243" s="48"/>
      <c r="IT243" s="48"/>
      <c r="IU243" s="48"/>
      <c r="IV243" s="48"/>
      <c r="IW243" s="48"/>
      <c r="IX243" s="48"/>
      <c r="IY243" s="48"/>
      <c r="IZ243" s="48"/>
      <c r="JA243" s="48"/>
      <c r="JB243" s="48"/>
      <c r="JC243" s="48"/>
      <c r="JD243" s="48"/>
      <c r="JE243" s="48"/>
      <c r="JF243" s="48"/>
      <c r="JG243" s="48"/>
      <c r="JH243" s="48"/>
      <c r="JI243" s="48"/>
      <c r="JJ243" s="48"/>
      <c r="JK243" s="48"/>
      <c r="JL243" s="48"/>
      <c r="JM243" s="48"/>
      <c r="JN243" s="48"/>
      <c r="JO243" s="48"/>
      <c r="JP243" s="48"/>
      <c r="JQ243" s="48"/>
      <c r="JR243" s="48"/>
      <c r="JS243" s="48"/>
      <c r="JT243" s="48"/>
      <c r="JU243" s="48"/>
      <c r="JV243" s="48"/>
      <c r="JW243" s="48"/>
      <c r="JX243" s="48"/>
      <c r="JY243" s="48"/>
      <c r="JZ243" s="48"/>
      <c r="KA243" s="48"/>
      <c r="KB243" s="48"/>
      <c r="KC243" s="48"/>
      <c r="KD243" s="48"/>
      <c r="KE243" s="48"/>
      <c r="KF243" s="48"/>
      <c r="KG243" s="48"/>
      <c r="KH243" s="48"/>
      <c r="KI243" s="48"/>
      <c r="KJ243" s="48"/>
      <c r="KK243" s="48"/>
      <c r="KL243" s="48"/>
      <c r="KM243" s="48"/>
      <c r="KN243" s="48"/>
      <c r="KO243" s="48"/>
      <c r="KP243" s="48"/>
      <c r="KQ243" s="48"/>
      <c r="KR243" s="48"/>
      <c r="KS243" s="48"/>
      <c r="KT243" s="48"/>
      <c r="KU243" s="48"/>
      <c r="KV243" s="48"/>
      <c r="KW243" s="48"/>
      <c r="KX243" s="48"/>
      <c r="KY243" s="48"/>
      <c r="KZ243" s="48"/>
      <c r="LA243" s="48"/>
      <c r="LB243" s="48"/>
      <c r="LC243" s="48"/>
      <c r="LD243" s="48"/>
      <c r="LE243" s="48"/>
      <c r="LF243" s="48"/>
      <c r="LG243" s="48"/>
      <c r="LH243" s="48"/>
      <c r="LI243" s="48"/>
      <c r="LJ243" s="48"/>
      <c r="LK243" s="48"/>
      <c r="LL243" s="48"/>
      <c r="LM243" s="48"/>
      <c r="LN243" s="48"/>
      <c r="LO243" s="48"/>
      <c r="LP243" s="48"/>
      <c r="LQ243" s="48"/>
      <c r="LR243" s="48"/>
      <c r="LS243" s="48"/>
      <c r="LT243" s="48"/>
      <c r="LU243" s="48"/>
      <c r="LV243" s="48"/>
      <c r="LW243" s="48"/>
      <c r="LX243" s="48"/>
      <c r="LY243" s="48"/>
      <c r="LZ243" s="48"/>
      <c r="MA243" s="48"/>
      <c r="MB243" s="48"/>
      <c r="MC243" s="48"/>
      <c r="MD243" s="48"/>
      <c r="ME243" s="48"/>
      <c r="MF243" s="48"/>
      <c r="MG243" s="48"/>
      <c r="MH243" s="48"/>
      <c r="MI243" s="48"/>
      <c r="MJ243" s="48"/>
      <c r="MK243" s="48"/>
      <c r="ML243" s="48"/>
      <c r="MM243" s="48"/>
      <c r="MN243" s="48"/>
      <c r="MO243" s="48"/>
      <c r="MP243" s="48"/>
      <c r="MQ243" s="48"/>
      <c r="MR243" s="48"/>
      <c r="MS243" s="48"/>
      <c r="MT243" s="48"/>
      <c r="MU243" s="48"/>
      <c r="MV243" s="48"/>
      <c r="MW243" s="48"/>
      <c r="MX243" s="48"/>
      <c r="MY243" s="48"/>
      <c r="MZ243" s="48"/>
      <c r="NA243" s="48"/>
      <c r="NB243" s="48"/>
      <c r="NC243" s="48"/>
      <c r="ND243" s="48"/>
      <c r="NE243" s="48"/>
      <c r="NF243" s="48"/>
      <c r="NG243" s="48"/>
      <c r="NH243" s="48"/>
      <c r="NI243" s="48"/>
      <c r="NJ243" s="48"/>
      <c r="NK243" s="48"/>
      <c r="NL243" s="48"/>
      <c r="NM243" s="48"/>
      <c r="NN243" s="48"/>
      <c r="NO243" s="48"/>
      <c r="NP243" s="48"/>
      <c r="NQ243" s="48"/>
      <c r="NR243" s="48"/>
      <c r="NS243" s="48"/>
      <c r="NT243" s="48"/>
      <c r="NU243" s="48"/>
      <c r="NV243" s="48"/>
      <c r="NW243" s="48"/>
      <c r="NX243" s="48"/>
      <c r="NY243" s="48"/>
      <c r="NZ243" s="48"/>
      <c r="OA243" s="48"/>
      <c r="OB243" s="48"/>
      <c r="OC243" s="48"/>
      <c r="OD243" s="48"/>
      <c r="OE243" s="48"/>
      <c r="OF243" s="48"/>
      <c r="OG243" s="48"/>
      <c r="OH243" s="48"/>
      <c r="OI243" s="48"/>
      <c r="OJ243" s="48"/>
      <c r="OK243" s="48"/>
      <c r="OL243" s="48"/>
      <c r="OM243" s="48"/>
      <c r="ON243" s="48"/>
      <c r="OO243" s="48"/>
      <c r="OP243" s="48"/>
      <c r="OQ243" s="48"/>
      <c r="OR243" s="48"/>
      <c r="OS243" s="48"/>
      <c r="OT243" s="48"/>
      <c r="OU243" s="48"/>
      <c r="OV243" s="48"/>
      <c r="OW243" s="48"/>
      <c r="OX243" s="48"/>
      <c r="OY243" s="48"/>
      <c r="OZ243" s="48"/>
      <c r="PA243" s="48"/>
      <c r="PB243" s="48"/>
      <c r="PC243" s="48"/>
      <c r="PD243" s="48"/>
      <c r="PE243" s="48"/>
      <c r="PF243" s="48"/>
      <c r="PG243" s="48"/>
      <c r="PH243" s="48"/>
      <c r="PI243" s="48"/>
      <c r="PJ243" s="48"/>
      <c r="PK243" s="48"/>
      <c r="PL243" s="48"/>
      <c r="PM243" s="48"/>
      <c r="PN243" s="48"/>
      <c r="PO243" s="48"/>
      <c r="PP243" s="48"/>
      <c r="PQ243" s="48"/>
      <c r="PR243" s="48"/>
      <c r="PS243" s="48"/>
      <c r="PT243" s="48"/>
      <c r="PU243" s="48"/>
      <c r="PV243" s="48"/>
      <c r="PW243" s="48"/>
      <c r="PX243" s="48"/>
      <c r="PY243" s="48"/>
      <c r="PZ243" s="48"/>
      <c r="QA243" s="48"/>
      <c r="QB243" s="48"/>
      <c r="QC243" s="48"/>
      <c r="QD243" s="48"/>
      <c r="QE243" s="48"/>
      <c r="QF243" s="48"/>
      <c r="QG243" s="48"/>
      <c r="QH243" s="48"/>
      <c r="QI243" s="48"/>
      <c r="QJ243" s="48"/>
      <c r="QK243" s="48"/>
      <c r="QL243" s="48"/>
      <c r="QM243" s="48"/>
      <c r="QN243" s="48"/>
      <c r="QO243" s="48"/>
      <c r="QP243" s="48"/>
      <c r="QQ243" s="48"/>
      <c r="QR243" s="48"/>
      <c r="QS243" s="48"/>
      <c r="QT243" s="48"/>
      <c r="QU243" s="48"/>
      <c r="QV243" s="48"/>
      <c r="QW243" s="48"/>
      <c r="QX243" s="48"/>
      <c r="QY243" s="48"/>
      <c r="QZ243" s="48"/>
      <c r="RA243" s="48"/>
      <c r="RB243" s="48"/>
      <c r="RC243" s="48"/>
      <c r="RD243" s="48"/>
      <c r="RE243" s="48"/>
      <c r="RF243" s="48"/>
      <c r="RG243" s="48"/>
      <c r="RH243" s="48"/>
      <c r="RI243" s="48"/>
      <c r="RJ243" s="48"/>
      <c r="RK243" s="48"/>
      <c r="RL243" s="48"/>
      <c r="RM243" s="48"/>
      <c r="RN243" s="48"/>
      <c r="RO243" s="48"/>
      <c r="RP243" s="48"/>
      <c r="RQ243" s="48"/>
      <c r="RR243" s="48"/>
      <c r="RS243" s="48"/>
      <c r="RT243" s="48"/>
      <c r="RU243" s="48"/>
      <c r="RV243" s="48"/>
      <c r="RW243" s="48"/>
      <c r="RX243" s="48"/>
      <c r="RY243" s="48"/>
      <c r="RZ243" s="48"/>
      <c r="SA243" s="48"/>
      <c r="SB243" s="48"/>
      <c r="SC243" s="48"/>
      <c r="SD243" s="48"/>
      <c r="SE243" s="48"/>
      <c r="SF243" s="48"/>
      <c r="SG243" s="48"/>
      <c r="SH243" s="48"/>
      <c r="SI243" s="48"/>
      <c r="SJ243" s="48"/>
      <c r="SK243" s="48"/>
      <c r="SL243" s="48"/>
      <c r="SM243" s="48"/>
      <c r="SN243" s="48"/>
      <c r="SO243" s="48"/>
      <c r="SP243" s="48"/>
      <c r="SQ243" s="48"/>
      <c r="SR243" s="48"/>
      <c r="SS243" s="48"/>
      <c r="ST243" s="48"/>
      <c r="SU243" s="48"/>
      <c r="SV243" s="48"/>
      <c r="SW243" s="48"/>
      <c r="SX243" s="48"/>
      <c r="SY243" s="48"/>
      <c r="SZ243" s="48"/>
      <c r="TA243" s="48"/>
      <c r="TB243" s="48"/>
      <c r="TC243" s="48"/>
      <c r="TD243" s="48"/>
      <c r="TE243" s="48"/>
      <c r="TF243" s="48"/>
      <c r="TG243" s="48"/>
      <c r="TH243" s="48"/>
      <c r="TI243" s="48"/>
      <c r="TJ243" s="48"/>
      <c r="TK243" s="48"/>
      <c r="TL243" s="48"/>
      <c r="TM243" s="48"/>
      <c r="TN243" s="48"/>
      <c r="TO243" s="48"/>
      <c r="TP243" s="48"/>
      <c r="TQ243" s="48"/>
      <c r="TR243" s="48"/>
      <c r="TS243" s="48"/>
      <c r="TT243" s="48"/>
      <c r="TU243" s="48"/>
      <c r="TV243" s="48"/>
      <c r="TW243" s="48"/>
      <c r="TX243" s="48"/>
      <c r="TY243" s="48"/>
      <c r="TZ243" s="48"/>
      <c r="UA243" s="48"/>
      <c r="UB243" s="48"/>
      <c r="UC243" s="48"/>
      <c r="UD243" s="48"/>
      <c r="UE243" s="48"/>
      <c r="UF243" s="48"/>
      <c r="UG243" s="48"/>
      <c r="UH243" s="48"/>
      <c r="UI243" s="48"/>
      <c r="UJ243" s="48"/>
      <c r="UK243" s="48"/>
      <c r="UL243" s="48"/>
      <c r="UM243" s="48"/>
      <c r="UN243" s="48"/>
      <c r="UO243" s="48"/>
      <c r="UP243" s="48"/>
      <c r="UQ243" s="48"/>
      <c r="UR243" s="48"/>
      <c r="US243" s="48"/>
      <c r="UT243" s="48"/>
      <c r="UU243" s="48"/>
      <c r="UV243" s="48"/>
      <c r="UW243" s="48"/>
      <c r="UX243" s="48"/>
      <c r="UY243" s="48"/>
      <c r="UZ243" s="48"/>
      <c r="VA243" s="48"/>
      <c r="VB243" s="48"/>
      <c r="VC243" s="48"/>
      <c r="VD243" s="48"/>
      <c r="VE243" s="48"/>
      <c r="VF243" s="48"/>
      <c r="VG243" s="48"/>
      <c r="VH243" s="48"/>
      <c r="VI243" s="48"/>
      <c r="VJ243" s="48"/>
      <c r="VK243" s="48"/>
      <c r="VL243" s="48"/>
      <c r="VM243" s="48"/>
      <c r="VN243" s="48"/>
      <c r="VO243" s="48"/>
      <c r="VP243" s="48"/>
      <c r="VQ243" s="48"/>
      <c r="VR243" s="48"/>
      <c r="VS243" s="48"/>
      <c r="VT243" s="48"/>
      <c r="VU243" s="48"/>
      <c r="VV243" s="48"/>
      <c r="VW243" s="48"/>
      <c r="VX243" s="48"/>
      <c r="VY243" s="48"/>
      <c r="VZ243" s="48"/>
      <c r="WA243" s="48"/>
      <c r="WB243" s="48"/>
      <c r="WC243" s="48"/>
      <c r="WD243" s="48"/>
      <c r="WE243" s="48"/>
      <c r="WF243" s="48"/>
      <c r="WG243" s="48"/>
      <c r="WH243" s="48"/>
      <c r="WI243" s="48"/>
      <c r="WJ243" s="48"/>
      <c r="WK243" s="48"/>
      <c r="WL243" s="48"/>
      <c r="WM243" s="48"/>
      <c r="WN243" s="48"/>
      <c r="WO243" s="48"/>
      <c r="WP243" s="48"/>
      <c r="WQ243" s="48"/>
      <c r="WR243" s="48"/>
      <c r="WS243" s="48"/>
      <c r="WT243" s="48"/>
      <c r="WU243" s="48"/>
      <c r="WV243" s="48"/>
      <c r="WW243" s="48"/>
      <c r="WX243" s="48"/>
      <c r="WY243" s="48"/>
      <c r="WZ243" s="48"/>
      <c r="XA243" s="48"/>
      <c r="XB243" s="48"/>
      <c r="XC243" s="48"/>
      <c r="XD243" s="48"/>
      <c r="XE243" s="48"/>
      <c r="XF243" s="48"/>
      <c r="XG243" s="48"/>
      <c r="XH243" s="48"/>
      <c r="XI243" s="48"/>
      <c r="XJ243" s="48"/>
      <c r="XK243" s="48"/>
      <c r="XL243" s="48"/>
      <c r="XM243" s="48"/>
      <c r="XN243" s="48"/>
      <c r="XO243" s="48"/>
      <c r="XP243" s="48"/>
      <c r="XQ243" s="48"/>
      <c r="XR243" s="48"/>
      <c r="XS243" s="48"/>
      <c r="XT243" s="48"/>
      <c r="XU243" s="48"/>
      <c r="XV243" s="48"/>
      <c r="XW243" s="48"/>
      <c r="XX243" s="48"/>
      <c r="XY243" s="48"/>
      <c r="XZ243" s="48"/>
      <c r="YA243" s="48"/>
      <c r="YB243" s="48"/>
      <c r="YC243" s="48"/>
      <c r="YD243" s="48"/>
      <c r="YE243" s="48"/>
      <c r="YF243" s="48"/>
      <c r="YG243" s="48"/>
      <c r="YH243" s="48"/>
      <c r="YI243" s="48"/>
      <c r="YJ243" s="48"/>
      <c r="YK243" s="48"/>
      <c r="YL243" s="48"/>
      <c r="YM243" s="48"/>
      <c r="YN243" s="48"/>
      <c r="YO243" s="48"/>
      <c r="YP243" s="48"/>
      <c r="YQ243" s="48"/>
      <c r="YR243" s="48"/>
      <c r="YS243" s="48"/>
      <c r="YT243" s="48"/>
      <c r="YU243" s="48"/>
      <c r="YV243" s="48"/>
      <c r="YW243" s="48"/>
      <c r="YX243" s="48"/>
      <c r="YY243" s="48"/>
      <c r="YZ243" s="48"/>
      <c r="ZA243" s="48"/>
      <c r="ZB243" s="48"/>
      <c r="ZC243" s="48"/>
      <c r="ZD243" s="48"/>
      <c r="ZE243" s="48"/>
      <c r="ZF243" s="48"/>
      <c r="ZG243" s="48"/>
      <c r="ZH243" s="48"/>
      <c r="ZI243" s="48"/>
      <c r="ZJ243" s="48"/>
      <c r="ZK243" s="48"/>
      <c r="ZL243" s="48"/>
      <c r="ZM243" s="48"/>
      <c r="ZN243" s="48"/>
      <c r="ZO243" s="48"/>
      <c r="ZP243" s="48"/>
      <c r="ZQ243" s="48"/>
      <c r="ZR243" s="48"/>
      <c r="ZS243" s="48"/>
      <c r="ZT243" s="48"/>
      <c r="ZU243" s="48"/>
      <c r="ZV243" s="48"/>
      <c r="ZW243" s="48"/>
      <c r="ZX243" s="48"/>
      <c r="ZY243" s="48"/>
      <c r="ZZ243" s="48"/>
      <c r="AAA243" s="48"/>
      <c r="AAB243" s="48"/>
      <c r="AAC243" s="48"/>
      <c r="AAD243" s="48"/>
      <c r="AAE243" s="48"/>
      <c r="AAF243" s="48"/>
      <c r="AAG243" s="48"/>
      <c r="AAH243" s="48"/>
      <c r="AAI243" s="48"/>
      <c r="AAJ243" s="48"/>
      <c r="AAK243" s="48"/>
      <c r="AAL243" s="48"/>
      <c r="AAM243" s="48"/>
      <c r="AAN243" s="48"/>
      <c r="AAO243" s="48"/>
      <c r="AAP243" s="48"/>
      <c r="AAQ243" s="48"/>
      <c r="AAR243" s="48"/>
      <c r="AAS243" s="48"/>
      <c r="AAT243" s="48"/>
      <c r="AAU243" s="48"/>
      <c r="AAV243" s="48"/>
      <c r="AAW243" s="48"/>
      <c r="AAX243" s="48"/>
      <c r="AAY243" s="48"/>
      <c r="AAZ243" s="48"/>
      <c r="ABA243" s="48"/>
      <c r="ABB243" s="48"/>
      <c r="ABC243" s="48"/>
      <c r="ABD243" s="48"/>
      <c r="ABE243" s="48"/>
      <c r="ABF243" s="48"/>
      <c r="ABG243" s="48"/>
      <c r="ABH243" s="48"/>
      <c r="ABI243" s="48"/>
      <c r="ABJ243" s="48"/>
      <c r="ABK243" s="48"/>
      <c r="ABL243" s="48"/>
      <c r="ABM243" s="48"/>
      <c r="ABN243" s="48"/>
      <c r="ABO243" s="48"/>
      <c r="ABP243" s="48"/>
      <c r="ABQ243" s="48"/>
      <c r="ABR243" s="48"/>
      <c r="ABS243" s="48"/>
      <c r="ABT243" s="48"/>
      <c r="ABU243" s="48"/>
      <c r="ABV243" s="48"/>
      <c r="ABW243" s="48"/>
      <c r="ABX243" s="48"/>
      <c r="ABY243" s="48"/>
      <c r="ABZ243" s="48"/>
      <c r="ACA243" s="48"/>
      <c r="ACB243" s="48"/>
      <c r="ACC243" s="48"/>
      <c r="ACD243" s="48"/>
      <c r="ACE243" s="48"/>
      <c r="ACF243" s="48"/>
      <c r="ACG243" s="48"/>
      <c r="ACH243" s="48"/>
      <c r="ACI243" s="48"/>
      <c r="ACJ243" s="48"/>
      <c r="ACK243" s="48"/>
      <c r="ACL243" s="48"/>
      <c r="ACM243" s="48"/>
      <c r="ACN243" s="48"/>
      <c r="ACO243" s="48"/>
      <c r="ACP243" s="48"/>
      <c r="ACQ243" s="48"/>
      <c r="ACR243" s="48"/>
      <c r="ACS243" s="48"/>
      <c r="ACT243" s="48"/>
      <c r="ACU243" s="48"/>
      <c r="ACV243" s="48"/>
      <c r="ACW243" s="48"/>
      <c r="ACX243" s="48"/>
      <c r="ACY243" s="48"/>
      <c r="ACZ243" s="48"/>
      <c r="ADA243" s="48"/>
      <c r="ADB243" s="48"/>
      <c r="ADC243" s="48"/>
      <c r="ADD243" s="48"/>
      <c r="ADE243" s="48"/>
      <c r="ADF243" s="48"/>
      <c r="ADG243" s="48"/>
      <c r="ADH243" s="48"/>
      <c r="ADI243" s="48"/>
      <c r="ADJ243" s="48"/>
      <c r="ADK243" s="48"/>
      <c r="ADL243" s="48"/>
      <c r="ADM243" s="48"/>
      <c r="ADN243" s="48"/>
      <c r="ADO243" s="48"/>
      <c r="ADP243" s="48"/>
      <c r="ADQ243" s="48"/>
      <c r="ADR243" s="48"/>
      <c r="ADS243" s="48"/>
      <c r="ADT243" s="48"/>
      <c r="ADU243" s="48"/>
      <c r="ADV243" s="48"/>
      <c r="ADW243" s="48"/>
      <c r="ADX243" s="48"/>
      <c r="ADY243" s="48"/>
      <c r="ADZ243" s="48"/>
      <c r="AEA243" s="48"/>
      <c r="AEB243" s="48"/>
      <c r="AEC243" s="48"/>
      <c r="AED243" s="48"/>
      <c r="AEE243" s="48"/>
      <c r="AEF243" s="48"/>
      <c r="AEG243" s="48"/>
      <c r="AEH243" s="48"/>
      <c r="AEI243" s="48"/>
      <c r="AEJ243" s="48"/>
      <c r="AEK243" s="48"/>
      <c r="AEL243" s="48"/>
      <c r="AEM243" s="48"/>
      <c r="AEN243" s="48"/>
      <c r="AEO243" s="48"/>
      <c r="AEP243" s="48"/>
      <c r="AEQ243" s="48"/>
      <c r="AER243" s="48"/>
      <c r="AES243" s="48"/>
      <c r="AET243" s="48"/>
      <c r="AEU243" s="48"/>
      <c r="AEV243" s="48"/>
      <c r="AEW243" s="48"/>
      <c r="AEX243" s="48"/>
      <c r="AEY243" s="48"/>
      <c r="AEZ243" s="48"/>
      <c r="AFA243" s="48"/>
      <c r="AFB243" s="48"/>
      <c r="AFC243" s="48"/>
      <c r="AFD243" s="48"/>
      <c r="AFE243" s="48"/>
      <c r="AFF243" s="48"/>
      <c r="AFG243" s="48"/>
      <c r="AFH243" s="48"/>
      <c r="AFI243" s="48"/>
      <c r="AFJ243" s="48"/>
      <c r="AFK243" s="48"/>
      <c r="AFL243" s="48"/>
      <c r="AFM243" s="48"/>
      <c r="AFN243" s="48"/>
      <c r="AFO243" s="48"/>
      <c r="AFP243" s="48"/>
      <c r="AFQ243" s="48"/>
      <c r="AFR243" s="48"/>
      <c r="AFS243" s="48"/>
      <c r="AFT243" s="48"/>
      <c r="AFU243" s="48"/>
      <c r="AFV243" s="48"/>
      <c r="AFW243" s="48"/>
      <c r="AFX243" s="48"/>
      <c r="AFY243" s="48"/>
      <c r="AFZ243" s="48"/>
      <c r="AGA243" s="48"/>
      <c r="AGB243" s="48"/>
      <c r="AGC243" s="48"/>
      <c r="AGD243" s="48"/>
      <c r="AGE243" s="48"/>
      <c r="AGF243" s="48"/>
      <c r="AGG243" s="48"/>
      <c r="AGH243" s="48"/>
      <c r="AGI243" s="48"/>
      <c r="AGJ243" s="48"/>
      <c r="AGK243" s="48"/>
      <c r="AGL243" s="48"/>
      <c r="AGM243" s="48"/>
      <c r="AGN243" s="48"/>
      <c r="AGO243" s="48"/>
      <c r="AGP243" s="48"/>
      <c r="AGQ243" s="48"/>
      <c r="AGR243" s="48"/>
      <c r="AGS243" s="48"/>
      <c r="AGT243" s="48"/>
      <c r="AGU243" s="48"/>
      <c r="AGV243" s="48"/>
      <c r="AGW243" s="48"/>
      <c r="AGX243" s="48"/>
      <c r="AGY243" s="48"/>
      <c r="AGZ243" s="48"/>
      <c r="AHA243" s="48"/>
      <c r="AHB243" s="48"/>
      <c r="AHC243" s="48"/>
      <c r="AHD243" s="48"/>
      <c r="AHE243" s="48"/>
      <c r="AHF243" s="48"/>
      <c r="AHG243" s="48"/>
      <c r="AHH243" s="48"/>
      <c r="AHI243" s="48"/>
      <c r="AHJ243" s="48"/>
      <c r="AHK243" s="48"/>
      <c r="AHL243" s="48"/>
      <c r="AHM243" s="48"/>
      <c r="AHN243" s="48"/>
      <c r="AHO243" s="48"/>
      <c r="AHP243" s="48"/>
      <c r="AHQ243" s="48"/>
      <c r="AHR243" s="48"/>
      <c r="AHS243" s="48"/>
      <c r="AHT243" s="48"/>
      <c r="AHU243" s="48"/>
      <c r="AHV243" s="48"/>
      <c r="AHW243" s="48"/>
      <c r="AHX243" s="48"/>
      <c r="AHY243" s="48"/>
      <c r="AHZ243" s="48"/>
      <c r="AIA243" s="48"/>
      <c r="AIB243" s="48"/>
      <c r="AIC243" s="48"/>
      <c r="AID243" s="48"/>
      <c r="AIE243" s="48"/>
      <c r="AIF243" s="48"/>
      <c r="AIG243" s="48"/>
      <c r="AIH243" s="48"/>
      <c r="AII243" s="48"/>
      <c r="AIJ243" s="48"/>
      <c r="AIK243" s="48"/>
      <c r="AIL243" s="48"/>
      <c r="AIM243" s="48"/>
      <c r="AIN243" s="48"/>
      <c r="AIO243" s="48"/>
      <c r="AIP243" s="48"/>
      <c r="AIQ243" s="48"/>
      <c r="AIR243" s="48"/>
      <c r="AIS243" s="48"/>
      <c r="AIT243" s="48"/>
      <c r="AIU243" s="48"/>
      <c r="AIV243" s="48"/>
      <c r="AIW243" s="48"/>
      <c r="AIX243" s="48"/>
      <c r="AIY243" s="48"/>
      <c r="AIZ243" s="48"/>
      <c r="AJA243" s="48"/>
      <c r="AJB243" s="48"/>
      <c r="AJC243" s="48"/>
      <c r="AJD243" s="48"/>
      <c r="AJE243" s="48"/>
      <c r="AJF243" s="48"/>
      <c r="AJG243" s="48"/>
      <c r="AJH243" s="48"/>
      <c r="AJI243" s="48"/>
      <c r="AJJ243" s="48"/>
      <c r="AJK243" s="48"/>
      <c r="AJL243" s="48"/>
      <c r="AJM243" s="48"/>
      <c r="AJN243" s="48"/>
      <c r="AJO243" s="48"/>
      <c r="AJP243" s="48"/>
      <c r="AJQ243" s="48"/>
      <c r="AJR243" s="48"/>
      <c r="AJS243" s="48"/>
      <c r="AJT243" s="48"/>
      <c r="AJU243" s="48"/>
      <c r="AJV243" s="48"/>
      <c r="AJW243" s="48"/>
      <c r="AJX243" s="48"/>
      <c r="AJY243" s="48"/>
      <c r="AJZ243" s="48"/>
      <c r="AKA243" s="48"/>
      <c r="AKB243" s="48"/>
      <c r="AKC243" s="48"/>
      <c r="AKD243" s="48"/>
      <c r="AKE243" s="48"/>
      <c r="AKF243" s="48"/>
      <c r="AKG243" s="48"/>
      <c r="AKH243" s="48"/>
      <c r="AKI243" s="48"/>
      <c r="AKJ243" s="48"/>
      <c r="AKK243" s="48"/>
      <c r="AKL243" s="48"/>
      <c r="AKM243" s="48"/>
      <c r="AKN243" s="48"/>
      <c r="AKO243" s="48"/>
      <c r="AKP243" s="48"/>
      <c r="AKQ243" s="48"/>
      <c r="AKR243" s="48"/>
      <c r="AKS243" s="48"/>
      <c r="AKT243" s="48"/>
      <c r="AKU243" s="48"/>
      <c r="AKV243" s="48"/>
      <c r="AKW243" s="48"/>
      <c r="AKX243" s="48"/>
      <c r="AKY243" s="48"/>
      <c r="AKZ243" s="48"/>
      <c r="ALA243" s="48"/>
      <c r="ALB243" s="48"/>
      <c r="ALC243" s="48"/>
      <c r="ALD243" s="48"/>
      <c r="ALE243" s="48"/>
      <c r="ALF243" s="48"/>
      <c r="ALG243" s="48"/>
      <c r="ALH243" s="48"/>
      <c r="ALI243" s="48"/>
      <c r="ALJ243" s="48"/>
      <c r="ALK243" s="48"/>
      <c r="ALL243" s="48"/>
      <c r="ALM243" s="48"/>
      <c r="ALN243" s="48"/>
      <c r="ALO243" s="48"/>
      <c r="ALP243" s="48"/>
      <c r="ALQ243" s="48"/>
      <c r="ALR243" s="48"/>
      <c r="ALS243" s="48"/>
      <c r="ALT243" s="48"/>
      <c r="ALU243" s="48"/>
      <c r="ALV243" s="48"/>
      <c r="ALW243" s="48"/>
      <c r="ALX243" s="48"/>
      <c r="ALY243" s="48"/>
      <c r="ALZ243" s="48"/>
      <c r="AMA243" s="48"/>
      <c r="AMB243" s="48"/>
      <c r="AMC243" s="48"/>
      <c r="AMD243" s="48"/>
      <c r="AME243" s="48"/>
      <c r="AMF243" s="48"/>
      <c r="AMG243" s="48"/>
      <c r="AMH243" s="48"/>
      <c r="AMI243" s="48"/>
      <c r="AMJ243" s="48"/>
      <c r="AMK243" s="48"/>
    </row>
    <row r="244" spans="1:1025" s="56" customFormat="1" x14ac:dyDescent="0.25">
      <c r="A244" s="140" t="s">
        <v>562</v>
      </c>
      <c r="B244" s="54" t="s">
        <v>138</v>
      </c>
      <c r="C244" s="55">
        <v>13.9</v>
      </c>
      <c r="D244" s="55">
        <v>12.5</v>
      </c>
      <c r="E244" s="55">
        <v>3.8</v>
      </c>
      <c r="F244" s="55">
        <v>184</v>
      </c>
      <c r="G244" s="55">
        <v>12.82</v>
      </c>
      <c r="H244" s="55">
        <v>17.37</v>
      </c>
      <c r="I244" s="55">
        <v>1.95</v>
      </c>
      <c r="J244" s="55">
        <v>0.92</v>
      </c>
      <c r="K244" s="120" t="s">
        <v>286</v>
      </c>
    </row>
    <row r="245" spans="1:1025" s="56" customFormat="1" x14ac:dyDescent="0.25">
      <c r="A245" s="140" t="s">
        <v>674</v>
      </c>
      <c r="B245" s="54" t="s">
        <v>138</v>
      </c>
      <c r="C245" s="55">
        <v>13.9</v>
      </c>
      <c r="D245" s="55">
        <v>12.5</v>
      </c>
      <c r="E245" s="55">
        <v>3.8</v>
      </c>
      <c r="F245" s="55">
        <v>184</v>
      </c>
      <c r="G245" s="55">
        <v>12.82</v>
      </c>
      <c r="H245" s="55">
        <v>17.37</v>
      </c>
      <c r="I245" s="55">
        <v>1.95</v>
      </c>
      <c r="J245" s="55">
        <v>0.92</v>
      </c>
      <c r="K245" s="120" t="s">
        <v>286</v>
      </c>
    </row>
    <row r="246" spans="1:1025" s="80" customFormat="1" x14ac:dyDescent="0.25">
      <c r="A246" s="140" t="s">
        <v>565</v>
      </c>
      <c r="B246" s="54" t="s">
        <v>118</v>
      </c>
      <c r="C246" s="55">
        <v>5.0999999999999996</v>
      </c>
      <c r="D246" s="55">
        <v>6.5</v>
      </c>
      <c r="E246" s="55">
        <v>24.7</v>
      </c>
      <c r="F246" s="55">
        <v>181</v>
      </c>
      <c r="G246" s="55">
        <v>115.1</v>
      </c>
      <c r="H246" s="55">
        <v>0</v>
      </c>
      <c r="I246" s="55">
        <v>0.9</v>
      </c>
      <c r="J246" s="55">
        <v>0.5</v>
      </c>
      <c r="K246" s="120" t="s">
        <v>119</v>
      </c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  <c r="BH246" s="48"/>
      <c r="BI246" s="48"/>
      <c r="BJ246" s="48"/>
      <c r="BK246" s="48"/>
      <c r="BL246" s="48"/>
      <c r="BM246" s="48"/>
      <c r="BN246" s="48"/>
      <c r="BO246" s="48"/>
      <c r="BP246" s="48"/>
      <c r="BQ246" s="48"/>
      <c r="BR246" s="48"/>
      <c r="BS246" s="48"/>
      <c r="BT246" s="48"/>
      <c r="BU246" s="48"/>
      <c r="BV246" s="48"/>
      <c r="BW246" s="48"/>
      <c r="BX246" s="48"/>
      <c r="BY246" s="48"/>
      <c r="BZ246" s="48"/>
      <c r="CA246" s="48"/>
      <c r="CB246" s="48"/>
      <c r="CC246" s="48"/>
      <c r="CD246" s="48"/>
      <c r="CE246" s="48"/>
      <c r="CF246" s="48"/>
      <c r="CG246" s="48"/>
      <c r="CH246" s="48"/>
      <c r="CI246" s="48"/>
      <c r="CJ246" s="48"/>
      <c r="CK246" s="48"/>
      <c r="CL246" s="48"/>
      <c r="CM246" s="48"/>
      <c r="CN246" s="48"/>
      <c r="CO246" s="48"/>
      <c r="CP246" s="48"/>
      <c r="CQ246" s="48"/>
      <c r="CR246" s="48"/>
      <c r="CS246" s="48"/>
      <c r="CT246" s="48"/>
      <c r="CU246" s="48"/>
      <c r="CV246" s="48"/>
      <c r="CW246" s="48"/>
      <c r="CX246" s="48"/>
      <c r="CY246" s="48"/>
      <c r="CZ246" s="48"/>
      <c r="DA246" s="48"/>
      <c r="DB246" s="48"/>
      <c r="DC246" s="48"/>
      <c r="DD246" s="48"/>
      <c r="DE246" s="48"/>
      <c r="DF246" s="48"/>
      <c r="DG246" s="48"/>
      <c r="DH246" s="48"/>
      <c r="DI246" s="48"/>
      <c r="DJ246" s="48"/>
      <c r="DK246" s="48"/>
      <c r="DL246" s="48"/>
      <c r="DM246" s="48"/>
      <c r="DN246" s="48"/>
      <c r="DO246" s="48"/>
      <c r="DP246" s="48"/>
      <c r="DQ246" s="48"/>
      <c r="DR246" s="48"/>
      <c r="DS246" s="48"/>
      <c r="DT246" s="48"/>
      <c r="DU246" s="48"/>
      <c r="DV246" s="48"/>
      <c r="DW246" s="48"/>
      <c r="DX246" s="48"/>
      <c r="DY246" s="48"/>
      <c r="DZ246" s="48"/>
      <c r="EA246" s="48"/>
      <c r="EB246" s="48"/>
      <c r="EC246" s="48"/>
      <c r="ED246" s="48"/>
      <c r="EE246" s="48"/>
      <c r="EF246" s="48"/>
      <c r="EG246" s="48"/>
      <c r="EH246" s="48"/>
      <c r="EI246" s="48"/>
      <c r="EJ246" s="48"/>
      <c r="EK246" s="48"/>
      <c r="EL246" s="48"/>
      <c r="EM246" s="48"/>
      <c r="EN246" s="48"/>
      <c r="EO246" s="48"/>
      <c r="EP246" s="48"/>
      <c r="EQ246" s="48"/>
      <c r="ER246" s="48"/>
      <c r="ES246" s="48"/>
      <c r="ET246" s="48"/>
      <c r="EU246" s="48"/>
      <c r="EV246" s="48"/>
      <c r="EW246" s="48"/>
      <c r="EX246" s="48"/>
      <c r="EY246" s="48"/>
      <c r="EZ246" s="48"/>
      <c r="FA246" s="48"/>
      <c r="FB246" s="48"/>
      <c r="FC246" s="48"/>
      <c r="FD246" s="48"/>
      <c r="FE246" s="48"/>
      <c r="FF246" s="48"/>
      <c r="FG246" s="48"/>
      <c r="FH246" s="48"/>
      <c r="FI246" s="48"/>
      <c r="FJ246" s="48"/>
      <c r="FK246" s="48"/>
      <c r="FL246" s="48"/>
      <c r="FM246" s="48"/>
      <c r="FN246" s="48"/>
      <c r="FO246" s="48"/>
      <c r="FP246" s="48"/>
      <c r="FQ246" s="48"/>
      <c r="FR246" s="48"/>
      <c r="FS246" s="48"/>
      <c r="FT246" s="48"/>
      <c r="FU246" s="48"/>
      <c r="FV246" s="48"/>
      <c r="FW246" s="48"/>
      <c r="FX246" s="48"/>
      <c r="FY246" s="48"/>
      <c r="FZ246" s="48"/>
      <c r="GA246" s="48"/>
      <c r="GB246" s="48"/>
      <c r="GC246" s="48"/>
      <c r="GD246" s="48"/>
      <c r="GE246" s="48"/>
      <c r="GF246" s="48"/>
      <c r="GG246" s="48"/>
      <c r="GH246" s="48"/>
      <c r="GI246" s="48"/>
      <c r="GJ246" s="48"/>
      <c r="GK246" s="48"/>
      <c r="GL246" s="48"/>
      <c r="GM246" s="48"/>
      <c r="GN246" s="48"/>
      <c r="GO246" s="48"/>
      <c r="GP246" s="48"/>
      <c r="GQ246" s="48"/>
      <c r="GR246" s="48"/>
      <c r="GS246" s="48"/>
      <c r="GT246" s="48"/>
      <c r="GU246" s="48"/>
      <c r="GV246" s="48"/>
      <c r="GW246" s="48"/>
      <c r="GX246" s="48"/>
      <c r="GY246" s="48"/>
      <c r="GZ246" s="48"/>
      <c r="HA246" s="48"/>
      <c r="HB246" s="48"/>
      <c r="HC246" s="48"/>
      <c r="HD246" s="48"/>
      <c r="HE246" s="48"/>
      <c r="HF246" s="48"/>
      <c r="HG246" s="48"/>
      <c r="HH246" s="48"/>
      <c r="HI246" s="48"/>
      <c r="HJ246" s="48"/>
      <c r="HK246" s="48"/>
      <c r="HL246" s="48"/>
      <c r="HM246" s="48"/>
      <c r="HN246" s="48"/>
      <c r="HO246" s="48"/>
      <c r="HP246" s="48"/>
      <c r="HQ246" s="48"/>
      <c r="HR246" s="48"/>
      <c r="HS246" s="48"/>
      <c r="HT246" s="48"/>
      <c r="HU246" s="48"/>
      <c r="HV246" s="48"/>
      <c r="HW246" s="48"/>
      <c r="HX246" s="48"/>
      <c r="HY246" s="48"/>
      <c r="HZ246" s="48"/>
      <c r="IA246" s="48"/>
      <c r="IB246" s="48"/>
      <c r="IC246" s="48"/>
      <c r="ID246" s="48"/>
      <c r="IE246" s="48"/>
      <c r="IF246" s="48"/>
      <c r="IG246" s="48"/>
      <c r="IH246" s="48"/>
      <c r="II246" s="48"/>
      <c r="IJ246" s="48"/>
      <c r="IK246" s="48"/>
      <c r="IL246" s="48"/>
      <c r="IM246" s="48"/>
      <c r="IN246" s="48"/>
      <c r="IO246" s="48"/>
      <c r="IP246" s="48"/>
      <c r="IQ246" s="48"/>
      <c r="IR246" s="48"/>
      <c r="IS246" s="48"/>
      <c r="IT246" s="48"/>
      <c r="IU246" s="48"/>
      <c r="IV246" s="48"/>
      <c r="IW246" s="48"/>
      <c r="IX246" s="48"/>
      <c r="IY246" s="48"/>
      <c r="IZ246" s="48"/>
      <c r="JA246" s="48"/>
      <c r="JB246" s="48"/>
      <c r="JC246" s="48"/>
      <c r="JD246" s="48"/>
      <c r="JE246" s="48"/>
      <c r="JF246" s="48"/>
      <c r="JG246" s="48"/>
      <c r="JH246" s="48"/>
      <c r="JI246" s="48"/>
      <c r="JJ246" s="48"/>
      <c r="JK246" s="48"/>
      <c r="JL246" s="48"/>
      <c r="JM246" s="48"/>
      <c r="JN246" s="48"/>
      <c r="JO246" s="48"/>
      <c r="JP246" s="48"/>
      <c r="JQ246" s="48"/>
      <c r="JR246" s="48"/>
      <c r="JS246" s="48"/>
      <c r="JT246" s="48"/>
      <c r="JU246" s="48"/>
      <c r="JV246" s="48"/>
      <c r="JW246" s="48"/>
      <c r="JX246" s="48"/>
      <c r="JY246" s="48"/>
      <c r="JZ246" s="48"/>
      <c r="KA246" s="48"/>
      <c r="KB246" s="48"/>
      <c r="KC246" s="48"/>
      <c r="KD246" s="48"/>
      <c r="KE246" s="48"/>
      <c r="KF246" s="48"/>
      <c r="KG246" s="48"/>
      <c r="KH246" s="48"/>
      <c r="KI246" s="48"/>
      <c r="KJ246" s="48"/>
      <c r="KK246" s="48"/>
      <c r="KL246" s="48"/>
      <c r="KM246" s="48"/>
      <c r="KN246" s="48"/>
      <c r="KO246" s="48"/>
      <c r="KP246" s="48"/>
      <c r="KQ246" s="48"/>
      <c r="KR246" s="48"/>
      <c r="KS246" s="48"/>
      <c r="KT246" s="48"/>
      <c r="KU246" s="48"/>
      <c r="KV246" s="48"/>
      <c r="KW246" s="48"/>
      <c r="KX246" s="48"/>
      <c r="KY246" s="48"/>
      <c r="KZ246" s="48"/>
      <c r="LA246" s="48"/>
      <c r="LB246" s="48"/>
      <c r="LC246" s="48"/>
      <c r="LD246" s="48"/>
      <c r="LE246" s="48"/>
      <c r="LF246" s="48"/>
      <c r="LG246" s="48"/>
      <c r="LH246" s="48"/>
      <c r="LI246" s="48"/>
      <c r="LJ246" s="48"/>
      <c r="LK246" s="48"/>
      <c r="LL246" s="48"/>
      <c r="LM246" s="48"/>
      <c r="LN246" s="48"/>
      <c r="LO246" s="48"/>
      <c r="LP246" s="48"/>
      <c r="LQ246" s="48"/>
      <c r="LR246" s="48"/>
      <c r="LS246" s="48"/>
      <c r="LT246" s="48"/>
      <c r="LU246" s="48"/>
      <c r="LV246" s="48"/>
      <c r="LW246" s="48"/>
      <c r="LX246" s="48"/>
      <c r="LY246" s="48"/>
      <c r="LZ246" s="48"/>
      <c r="MA246" s="48"/>
      <c r="MB246" s="48"/>
      <c r="MC246" s="48"/>
      <c r="MD246" s="48"/>
      <c r="ME246" s="48"/>
      <c r="MF246" s="48"/>
      <c r="MG246" s="48"/>
      <c r="MH246" s="48"/>
      <c r="MI246" s="48"/>
      <c r="MJ246" s="48"/>
      <c r="MK246" s="48"/>
      <c r="ML246" s="48"/>
      <c r="MM246" s="48"/>
      <c r="MN246" s="48"/>
      <c r="MO246" s="48"/>
      <c r="MP246" s="48"/>
      <c r="MQ246" s="48"/>
      <c r="MR246" s="48"/>
      <c r="MS246" s="48"/>
      <c r="MT246" s="48"/>
      <c r="MU246" s="48"/>
      <c r="MV246" s="48"/>
      <c r="MW246" s="48"/>
      <c r="MX246" s="48"/>
      <c r="MY246" s="48"/>
      <c r="MZ246" s="48"/>
      <c r="NA246" s="48"/>
      <c r="NB246" s="48"/>
      <c r="NC246" s="48"/>
      <c r="ND246" s="48"/>
      <c r="NE246" s="48"/>
      <c r="NF246" s="48"/>
      <c r="NG246" s="48"/>
      <c r="NH246" s="48"/>
      <c r="NI246" s="48"/>
      <c r="NJ246" s="48"/>
      <c r="NK246" s="48"/>
      <c r="NL246" s="48"/>
      <c r="NM246" s="48"/>
      <c r="NN246" s="48"/>
      <c r="NO246" s="48"/>
      <c r="NP246" s="48"/>
      <c r="NQ246" s="48"/>
      <c r="NR246" s="48"/>
      <c r="NS246" s="48"/>
      <c r="NT246" s="48"/>
      <c r="NU246" s="48"/>
      <c r="NV246" s="48"/>
      <c r="NW246" s="48"/>
      <c r="NX246" s="48"/>
      <c r="NY246" s="48"/>
      <c r="NZ246" s="48"/>
      <c r="OA246" s="48"/>
      <c r="OB246" s="48"/>
      <c r="OC246" s="48"/>
      <c r="OD246" s="48"/>
      <c r="OE246" s="48"/>
      <c r="OF246" s="48"/>
      <c r="OG246" s="48"/>
      <c r="OH246" s="48"/>
      <c r="OI246" s="48"/>
      <c r="OJ246" s="48"/>
      <c r="OK246" s="48"/>
      <c r="OL246" s="48"/>
      <c r="OM246" s="48"/>
      <c r="ON246" s="48"/>
      <c r="OO246" s="48"/>
      <c r="OP246" s="48"/>
      <c r="OQ246" s="48"/>
      <c r="OR246" s="48"/>
      <c r="OS246" s="48"/>
      <c r="OT246" s="48"/>
      <c r="OU246" s="48"/>
      <c r="OV246" s="48"/>
      <c r="OW246" s="48"/>
      <c r="OX246" s="48"/>
      <c r="OY246" s="48"/>
      <c r="OZ246" s="48"/>
      <c r="PA246" s="48"/>
      <c r="PB246" s="48"/>
      <c r="PC246" s="48"/>
      <c r="PD246" s="48"/>
      <c r="PE246" s="48"/>
      <c r="PF246" s="48"/>
      <c r="PG246" s="48"/>
      <c r="PH246" s="48"/>
      <c r="PI246" s="48"/>
      <c r="PJ246" s="48"/>
      <c r="PK246" s="48"/>
      <c r="PL246" s="48"/>
      <c r="PM246" s="48"/>
      <c r="PN246" s="48"/>
      <c r="PO246" s="48"/>
      <c r="PP246" s="48"/>
      <c r="PQ246" s="48"/>
      <c r="PR246" s="48"/>
      <c r="PS246" s="48"/>
      <c r="PT246" s="48"/>
      <c r="PU246" s="48"/>
      <c r="PV246" s="48"/>
      <c r="PW246" s="48"/>
      <c r="PX246" s="48"/>
      <c r="PY246" s="48"/>
      <c r="PZ246" s="48"/>
      <c r="QA246" s="48"/>
      <c r="QB246" s="48"/>
      <c r="QC246" s="48"/>
      <c r="QD246" s="48"/>
      <c r="QE246" s="48"/>
      <c r="QF246" s="48"/>
      <c r="QG246" s="48"/>
      <c r="QH246" s="48"/>
      <c r="QI246" s="48"/>
      <c r="QJ246" s="48"/>
      <c r="QK246" s="48"/>
      <c r="QL246" s="48"/>
      <c r="QM246" s="48"/>
      <c r="QN246" s="48"/>
      <c r="QO246" s="48"/>
      <c r="QP246" s="48"/>
      <c r="QQ246" s="48"/>
      <c r="QR246" s="48"/>
      <c r="QS246" s="48"/>
      <c r="QT246" s="48"/>
      <c r="QU246" s="48"/>
      <c r="QV246" s="48"/>
      <c r="QW246" s="48"/>
      <c r="QX246" s="48"/>
      <c r="QY246" s="48"/>
      <c r="QZ246" s="48"/>
      <c r="RA246" s="48"/>
      <c r="RB246" s="48"/>
      <c r="RC246" s="48"/>
      <c r="RD246" s="48"/>
      <c r="RE246" s="48"/>
      <c r="RF246" s="48"/>
      <c r="RG246" s="48"/>
      <c r="RH246" s="48"/>
      <c r="RI246" s="48"/>
      <c r="RJ246" s="48"/>
      <c r="RK246" s="48"/>
      <c r="RL246" s="48"/>
      <c r="RM246" s="48"/>
      <c r="RN246" s="48"/>
      <c r="RO246" s="48"/>
      <c r="RP246" s="48"/>
      <c r="RQ246" s="48"/>
      <c r="RR246" s="48"/>
      <c r="RS246" s="48"/>
      <c r="RT246" s="48"/>
      <c r="RU246" s="48"/>
      <c r="RV246" s="48"/>
      <c r="RW246" s="48"/>
      <c r="RX246" s="48"/>
      <c r="RY246" s="48"/>
      <c r="RZ246" s="48"/>
      <c r="SA246" s="48"/>
      <c r="SB246" s="48"/>
      <c r="SC246" s="48"/>
      <c r="SD246" s="48"/>
      <c r="SE246" s="48"/>
      <c r="SF246" s="48"/>
      <c r="SG246" s="48"/>
      <c r="SH246" s="48"/>
      <c r="SI246" s="48"/>
      <c r="SJ246" s="48"/>
      <c r="SK246" s="48"/>
      <c r="SL246" s="48"/>
      <c r="SM246" s="48"/>
      <c r="SN246" s="48"/>
      <c r="SO246" s="48"/>
      <c r="SP246" s="48"/>
      <c r="SQ246" s="48"/>
      <c r="SR246" s="48"/>
      <c r="SS246" s="48"/>
      <c r="ST246" s="48"/>
      <c r="SU246" s="48"/>
      <c r="SV246" s="48"/>
      <c r="SW246" s="48"/>
      <c r="SX246" s="48"/>
      <c r="SY246" s="48"/>
      <c r="SZ246" s="48"/>
      <c r="TA246" s="48"/>
      <c r="TB246" s="48"/>
      <c r="TC246" s="48"/>
      <c r="TD246" s="48"/>
      <c r="TE246" s="48"/>
      <c r="TF246" s="48"/>
      <c r="TG246" s="48"/>
      <c r="TH246" s="48"/>
      <c r="TI246" s="48"/>
      <c r="TJ246" s="48"/>
      <c r="TK246" s="48"/>
      <c r="TL246" s="48"/>
      <c r="TM246" s="48"/>
      <c r="TN246" s="48"/>
      <c r="TO246" s="48"/>
      <c r="TP246" s="48"/>
      <c r="TQ246" s="48"/>
      <c r="TR246" s="48"/>
      <c r="TS246" s="48"/>
      <c r="TT246" s="48"/>
      <c r="TU246" s="48"/>
      <c r="TV246" s="48"/>
      <c r="TW246" s="48"/>
      <c r="TX246" s="48"/>
      <c r="TY246" s="48"/>
      <c r="TZ246" s="48"/>
      <c r="UA246" s="48"/>
      <c r="UB246" s="48"/>
      <c r="UC246" s="48"/>
      <c r="UD246" s="48"/>
      <c r="UE246" s="48"/>
      <c r="UF246" s="48"/>
      <c r="UG246" s="48"/>
      <c r="UH246" s="48"/>
      <c r="UI246" s="48"/>
      <c r="UJ246" s="48"/>
      <c r="UK246" s="48"/>
      <c r="UL246" s="48"/>
      <c r="UM246" s="48"/>
      <c r="UN246" s="48"/>
      <c r="UO246" s="48"/>
      <c r="UP246" s="48"/>
      <c r="UQ246" s="48"/>
      <c r="UR246" s="48"/>
      <c r="US246" s="48"/>
      <c r="UT246" s="48"/>
      <c r="UU246" s="48"/>
      <c r="UV246" s="48"/>
      <c r="UW246" s="48"/>
      <c r="UX246" s="48"/>
      <c r="UY246" s="48"/>
      <c r="UZ246" s="48"/>
      <c r="VA246" s="48"/>
      <c r="VB246" s="48"/>
      <c r="VC246" s="48"/>
      <c r="VD246" s="48"/>
      <c r="VE246" s="48"/>
      <c r="VF246" s="48"/>
      <c r="VG246" s="48"/>
      <c r="VH246" s="48"/>
      <c r="VI246" s="48"/>
      <c r="VJ246" s="48"/>
      <c r="VK246" s="48"/>
      <c r="VL246" s="48"/>
      <c r="VM246" s="48"/>
      <c r="VN246" s="48"/>
      <c r="VO246" s="48"/>
      <c r="VP246" s="48"/>
      <c r="VQ246" s="48"/>
      <c r="VR246" s="48"/>
      <c r="VS246" s="48"/>
      <c r="VT246" s="48"/>
      <c r="VU246" s="48"/>
      <c r="VV246" s="48"/>
      <c r="VW246" s="48"/>
      <c r="VX246" s="48"/>
      <c r="VY246" s="48"/>
      <c r="VZ246" s="48"/>
      <c r="WA246" s="48"/>
      <c r="WB246" s="48"/>
      <c r="WC246" s="48"/>
      <c r="WD246" s="48"/>
      <c r="WE246" s="48"/>
      <c r="WF246" s="48"/>
      <c r="WG246" s="48"/>
      <c r="WH246" s="48"/>
      <c r="WI246" s="48"/>
      <c r="WJ246" s="48"/>
      <c r="WK246" s="48"/>
      <c r="WL246" s="48"/>
      <c r="WM246" s="48"/>
      <c r="WN246" s="48"/>
      <c r="WO246" s="48"/>
      <c r="WP246" s="48"/>
      <c r="WQ246" s="48"/>
      <c r="WR246" s="48"/>
      <c r="WS246" s="48"/>
      <c r="WT246" s="48"/>
      <c r="WU246" s="48"/>
      <c r="WV246" s="48"/>
      <c r="WW246" s="48"/>
      <c r="WX246" s="48"/>
      <c r="WY246" s="48"/>
      <c r="WZ246" s="48"/>
      <c r="XA246" s="48"/>
      <c r="XB246" s="48"/>
      <c r="XC246" s="48"/>
      <c r="XD246" s="48"/>
      <c r="XE246" s="48"/>
      <c r="XF246" s="48"/>
      <c r="XG246" s="48"/>
      <c r="XH246" s="48"/>
      <c r="XI246" s="48"/>
      <c r="XJ246" s="48"/>
      <c r="XK246" s="48"/>
      <c r="XL246" s="48"/>
      <c r="XM246" s="48"/>
      <c r="XN246" s="48"/>
      <c r="XO246" s="48"/>
      <c r="XP246" s="48"/>
      <c r="XQ246" s="48"/>
      <c r="XR246" s="48"/>
      <c r="XS246" s="48"/>
      <c r="XT246" s="48"/>
      <c r="XU246" s="48"/>
      <c r="XV246" s="48"/>
      <c r="XW246" s="48"/>
      <c r="XX246" s="48"/>
      <c r="XY246" s="48"/>
      <c r="XZ246" s="48"/>
      <c r="YA246" s="48"/>
      <c r="YB246" s="48"/>
      <c r="YC246" s="48"/>
      <c r="YD246" s="48"/>
      <c r="YE246" s="48"/>
      <c r="YF246" s="48"/>
      <c r="YG246" s="48"/>
      <c r="YH246" s="48"/>
      <c r="YI246" s="48"/>
      <c r="YJ246" s="48"/>
      <c r="YK246" s="48"/>
      <c r="YL246" s="48"/>
      <c r="YM246" s="48"/>
      <c r="YN246" s="48"/>
      <c r="YO246" s="48"/>
      <c r="YP246" s="48"/>
      <c r="YQ246" s="48"/>
      <c r="YR246" s="48"/>
      <c r="YS246" s="48"/>
      <c r="YT246" s="48"/>
      <c r="YU246" s="48"/>
      <c r="YV246" s="48"/>
      <c r="YW246" s="48"/>
      <c r="YX246" s="48"/>
      <c r="YY246" s="48"/>
      <c r="YZ246" s="48"/>
      <c r="ZA246" s="48"/>
      <c r="ZB246" s="48"/>
      <c r="ZC246" s="48"/>
      <c r="ZD246" s="48"/>
      <c r="ZE246" s="48"/>
      <c r="ZF246" s="48"/>
      <c r="ZG246" s="48"/>
      <c r="ZH246" s="48"/>
      <c r="ZI246" s="48"/>
      <c r="ZJ246" s="48"/>
      <c r="ZK246" s="48"/>
      <c r="ZL246" s="48"/>
      <c r="ZM246" s="48"/>
      <c r="ZN246" s="48"/>
      <c r="ZO246" s="48"/>
      <c r="ZP246" s="48"/>
      <c r="ZQ246" s="48"/>
      <c r="ZR246" s="48"/>
      <c r="ZS246" s="48"/>
      <c r="ZT246" s="48"/>
      <c r="ZU246" s="48"/>
      <c r="ZV246" s="48"/>
      <c r="ZW246" s="48"/>
      <c r="ZX246" s="48"/>
      <c r="ZY246" s="48"/>
      <c r="ZZ246" s="48"/>
      <c r="AAA246" s="48"/>
      <c r="AAB246" s="48"/>
      <c r="AAC246" s="48"/>
      <c r="AAD246" s="48"/>
      <c r="AAE246" s="48"/>
      <c r="AAF246" s="48"/>
      <c r="AAG246" s="48"/>
      <c r="AAH246" s="48"/>
      <c r="AAI246" s="48"/>
      <c r="AAJ246" s="48"/>
      <c r="AAK246" s="48"/>
      <c r="AAL246" s="48"/>
      <c r="AAM246" s="48"/>
      <c r="AAN246" s="48"/>
      <c r="AAO246" s="48"/>
      <c r="AAP246" s="48"/>
      <c r="AAQ246" s="48"/>
      <c r="AAR246" s="48"/>
      <c r="AAS246" s="48"/>
      <c r="AAT246" s="48"/>
      <c r="AAU246" s="48"/>
      <c r="AAV246" s="48"/>
      <c r="AAW246" s="48"/>
      <c r="AAX246" s="48"/>
      <c r="AAY246" s="48"/>
      <c r="AAZ246" s="48"/>
      <c r="ABA246" s="48"/>
      <c r="ABB246" s="48"/>
      <c r="ABC246" s="48"/>
      <c r="ABD246" s="48"/>
      <c r="ABE246" s="48"/>
      <c r="ABF246" s="48"/>
      <c r="ABG246" s="48"/>
      <c r="ABH246" s="48"/>
      <c r="ABI246" s="48"/>
      <c r="ABJ246" s="48"/>
      <c r="ABK246" s="48"/>
      <c r="ABL246" s="48"/>
      <c r="ABM246" s="48"/>
      <c r="ABN246" s="48"/>
      <c r="ABO246" s="48"/>
      <c r="ABP246" s="48"/>
      <c r="ABQ246" s="48"/>
      <c r="ABR246" s="48"/>
      <c r="ABS246" s="48"/>
      <c r="ABT246" s="48"/>
      <c r="ABU246" s="48"/>
      <c r="ABV246" s="48"/>
      <c r="ABW246" s="48"/>
      <c r="ABX246" s="48"/>
      <c r="ABY246" s="48"/>
      <c r="ABZ246" s="48"/>
      <c r="ACA246" s="48"/>
      <c r="ACB246" s="48"/>
      <c r="ACC246" s="48"/>
      <c r="ACD246" s="48"/>
      <c r="ACE246" s="48"/>
      <c r="ACF246" s="48"/>
      <c r="ACG246" s="48"/>
      <c r="ACH246" s="48"/>
      <c r="ACI246" s="48"/>
      <c r="ACJ246" s="48"/>
      <c r="ACK246" s="48"/>
      <c r="ACL246" s="48"/>
      <c r="ACM246" s="48"/>
      <c r="ACN246" s="48"/>
      <c r="ACO246" s="48"/>
      <c r="ACP246" s="48"/>
      <c r="ACQ246" s="48"/>
      <c r="ACR246" s="48"/>
      <c r="ACS246" s="48"/>
      <c r="ACT246" s="48"/>
      <c r="ACU246" s="48"/>
      <c r="ACV246" s="48"/>
      <c r="ACW246" s="48"/>
      <c r="ACX246" s="48"/>
      <c r="ACY246" s="48"/>
      <c r="ACZ246" s="48"/>
      <c r="ADA246" s="48"/>
      <c r="ADB246" s="48"/>
      <c r="ADC246" s="48"/>
      <c r="ADD246" s="48"/>
      <c r="ADE246" s="48"/>
      <c r="ADF246" s="48"/>
      <c r="ADG246" s="48"/>
      <c r="ADH246" s="48"/>
      <c r="ADI246" s="48"/>
      <c r="ADJ246" s="48"/>
      <c r="ADK246" s="48"/>
      <c r="ADL246" s="48"/>
      <c r="ADM246" s="48"/>
      <c r="ADN246" s="48"/>
      <c r="ADO246" s="48"/>
      <c r="ADP246" s="48"/>
      <c r="ADQ246" s="48"/>
      <c r="ADR246" s="48"/>
      <c r="ADS246" s="48"/>
      <c r="ADT246" s="48"/>
      <c r="ADU246" s="48"/>
      <c r="ADV246" s="48"/>
      <c r="ADW246" s="48"/>
      <c r="ADX246" s="48"/>
      <c r="ADY246" s="48"/>
      <c r="ADZ246" s="48"/>
      <c r="AEA246" s="48"/>
      <c r="AEB246" s="48"/>
      <c r="AEC246" s="48"/>
      <c r="AED246" s="48"/>
      <c r="AEE246" s="48"/>
      <c r="AEF246" s="48"/>
      <c r="AEG246" s="48"/>
      <c r="AEH246" s="48"/>
      <c r="AEI246" s="48"/>
      <c r="AEJ246" s="48"/>
      <c r="AEK246" s="48"/>
      <c r="AEL246" s="48"/>
      <c r="AEM246" s="48"/>
      <c r="AEN246" s="48"/>
      <c r="AEO246" s="48"/>
      <c r="AEP246" s="48"/>
      <c r="AEQ246" s="48"/>
      <c r="AER246" s="48"/>
      <c r="AES246" s="48"/>
      <c r="AET246" s="48"/>
      <c r="AEU246" s="48"/>
      <c r="AEV246" s="48"/>
      <c r="AEW246" s="48"/>
      <c r="AEX246" s="48"/>
      <c r="AEY246" s="48"/>
      <c r="AEZ246" s="48"/>
      <c r="AFA246" s="48"/>
      <c r="AFB246" s="48"/>
      <c r="AFC246" s="48"/>
      <c r="AFD246" s="48"/>
      <c r="AFE246" s="48"/>
      <c r="AFF246" s="48"/>
      <c r="AFG246" s="48"/>
      <c r="AFH246" s="48"/>
      <c r="AFI246" s="48"/>
      <c r="AFJ246" s="48"/>
      <c r="AFK246" s="48"/>
      <c r="AFL246" s="48"/>
      <c r="AFM246" s="48"/>
      <c r="AFN246" s="48"/>
      <c r="AFO246" s="48"/>
      <c r="AFP246" s="48"/>
      <c r="AFQ246" s="48"/>
      <c r="AFR246" s="48"/>
      <c r="AFS246" s="48"/>
      <c r="AFT246" s="48"/>
      <c r="AFU246" s="48"/>
      <c r="AFV246" s="48"/>
      <c r="AFW246" s="48"/>
      <c r="AFX246" s="48"/>
      <c r="AFY246" s="48"/>
      <c r="AFZ246" s="48"/>
      <c r="AGA246" s="48"/>
      <c r="AGB246" s="48"/>
      <c r="AGC246" s="48"/>
      <c r="AGD246" s="48"/>
      <c r="AGE246" s="48"/>
      <c r="AGF246" s="48"/>
      <c r="AGG246" s="48"/>
      <c r="AGH246" s="48"/>
      <c r="AGI246" s="48"/>
      <c r="AGJ246" s="48"/>
      <c r="AGK246" s="48"/>
      <c r="AGL246" s="48"/>
      <c r="AGM246" s="48"/>
      <c r="AGN246" s="48"/>
      <c r="AGO246" s="48"/>
      <c r="AGP246" s="48"/>
      <c r="AGQ246" s="48"/>
      <c r="AGR246" s="48"/>
      <c r="AGS246" s="48"/>
      <c r="AGT246" s="48"/>
      <c r="AGU246" s="48"/>
      <c r="AGV246" s="48"/>
      <c r="AGW246" s="48"/>
      <c r="AGX246" s="48"/>
      <c r="AGY246" s="48"/>
      <c r="AGZ246" s="48"/>
      <c r="AHA246" s="48"/>
      <c r="AHB246" s="48"/>
      <c r="AHC246" s="48"/>
      <c r="AHD246" s="48"/>
      <c r="AHE246" s="48"/>
      <c r="AHF246" s="48"/>
      <c r="AHG246" s="48"/>
      <c r="AHH246" s="48"/>
      <c r="AHI246" s="48"/>
      <c r="AHJ246" s="48"/>
      <c r="AHK246" s="48"/>
      <c r="AHL246" s="48"/>
      <c r="AHM246" s="48"/>
      <c r="AHN246" s="48"/>
      <c r="AHO246" s="48"/>
      <c r="AHP246" s="48"/>
      <c r="AHQ246" s="48"/>
      <c r="AHR246" s="48"/>
      <c r="AHS246" s="48"/>
      <c r="AHT246" s="48"/>
      <c r="AHU246" s="48"/>
      <c r="AHV246" s="48"/>
      <c r="AHW246" s="48"/>
      <c r="AHX246" s="48"/>
      <c r="AHY246" s="48"/>
      <c r="AHZ246" s="48"/>
      <c r="AIA246" s="48"/>
      <c r="AIB246" s="48"/>
      <c r="AIC246" s="48"/>
      <c r="AID246" s="48"/>
      <c r="AIE246" s="48"/>
      <c r="AIF246" s="48"/>
      <c r="AIG246" s="48"/>
      <c r="AIH246" s="48"/>
      <c r="AII246" s="48"/>
      <c r="AIJ246" s="48"/>
      <c r="AIK246" s="48"/>
      <c r="AIL246" s="48"/>
      <c r="AIM246" s="48"/>
      <c r="AIN246" s="48"/>
      <c r="AIO246" s="48"/>
      <c r="AIP246" s="48"/>
      <c r="AIQ246" s="48"/>
      <c r="AIR246" s="48"/>
      <c r="AIS246" s="48"/>
      <c r="AIT246" s="48"/>
      <c r="AIU246" s="48"/>
      <c r="AIV246" s="48"/>
      <c r="AIW246" s="48"/>
      <c r="AIX246" s="48"/>
      <c r="AIY246" s="48"/>
      <c r="AIZ246" s="48"/>
      <c r="AJA246" s="48"/>
      <c r="AJB246" s="48"/>
      <c r="AJC246" s="48"/>
      <c r="AJD246" s="48"/>
      <c r="AJE246" s="48"/>
      <c r="AJF246" s="48"/>
      <c r="AJG246" s="48"/>
      <c r="AJH246" s="48"/>
      <c r="AJI246" s="48"/>
      <c r="AJJ246" s="48"/>
      <c r="AJK246" s="48"/>
      <c r="AJL246" s="48"/>
      <c r="AJM246" s="48"/>
      <c r="AJN246" s="48"/>
      <c r="AJO246" s="48"/>
      <c r="AJP246" s="48"/>
      <c r="AJQ246" s="48"/>
      <c r="AJR246" s="48"/>
      <c r="AJS246" s="48"/>
      <c r="AJT246" s="48"/>
      <c r="AJU246" s="48"/>
      <c r="AJV246" s="48"/>
      <c r="AJW246" s="48"/>
      <c r="AJX246" s="48"/>
      <c r="AJY246" s="48"/>
      <c r="AJZ246" s="48"/>
      <c r="AKA246" s="48"/>
      <c r="AKB246" s="48"/>
      <c r="AKC246" s="48"/>
      <c r="AKD246" s="48"/>
      <c r="AKE246" s="48"/>
      <c r="AKF246" s="48"/>
      <c r="AKG246" s="48"/>
      <c r="AKH246" s="48"/>
      <c r="AKI246" s="48"/>
      <c r="AKJ246" s="48"/>
      <c r="AKK246" s="48"/>
      <c r="AKL246" s="48"/>
      <c r="AKM246" s="48"/>
      <c r="AKN246" s="48"/>
      <c r="AKO246" s="48"/>
      <c r="AKP246" s="48"/>
      <c r="AKQ246" s="48"/>
      <c r="AKR246" s="48"/>
      <c r="AKS246" s="48"/>
      <c r="AKT246" s="48"/>
      <c r="AKU246" s="48"/>
      <c r="AKV246" s="48"/>
      <c r="AKW246" s="48"/>
      <c r="AKX246" s="48"/>
      <c r="AKY246" s="48"/>
      <c r="AKZ246" s="48"/>
      <c r="ALA246" s="48"/>
      <c r="ALB246" s="48"/>
      <c r="ALC246" s="48"/>
      <c r="ALD246" s="48"/>
      <c r="ALE246" s="48"/>
      <c r="ALF246" s="48"/>
      <c r="ALG246" s="48"/>
      <c r="ALH246" s="48"/>
      <c r="ALI246" s="48"/>
      <c r="ALJ246" s="48"/>
      <c r="ALK246" s="48"/>
      <c r="ALL246" s="48"/>
      <c r="ALM246" s="48"/>
      <c r="ALN246" s="48"/>
      <c r="ALO246" s="48"/>
      <c r="ALP246" s="48"/>
      <c r="ALQ246" s="48"/>
      <c r="ALR246" s="48"/>
      <c r="ALS246" s="48"/>
      <c r="ALT246" s="48"/>
      <c r="ALU246" s="48"/>
      <c r="ALV246" s="48"/>
      <c r="ALW246" s="48"/>
      <c r="ALX246" s="48"/>
      <c r="ALY246" s="48"/>
      <c r="ALZ246" s="48"/>
      <c r="AMA246" s="48"/>
      <c r="AMB246" s="48"/>
      <c r="AMC246" s="48"/>
      <c r="AMD246" s="48"/>
      <c r="AME246" s="48"/>
      <c r="AMF246" s="48"/>
      <c r="AMG246" s="48"/>
      <c r="AMH246" s="48"/>
      <c r="AMI246" s="48"/>
      <c r="AMJ246" s="48"/>
      <c r="AMK246" s="48"/>
    </row>
    <row r="247" spans="1:1025" s="80" customFormat="1" x14ac:dyDescent="0.25">
      <c r="A247" s="140" t="s">
        <v>555</v>
      </c>
      <c r="B247" s="54" t="s">
        <v>138</v>
      </c>
      <c r="C247" s="55">
        <v>28.25</v>
      </c>
      <c r="D247" s="55">
        <v>12.25</v>
      </c>
      <c r="E247" s="55">
        <v>19.75</v>
      </c>
      <c r="F247" s="55">
        <v>305</v>
      </c>
      <c r="G247" s="55">
        <v>39.362499999999997</v>
      </c>
      <c r="H247" s="55">
        <v>55.4375</v>
      </c>
      <c r="I247" s="55">
        <v>2.7749999999999999</v>
      </c>
      <c r="J247" s="55">
        <v>11.3375</v>
      </c>
      <c r="K247" s="120" t="s">
        <v>304</v>
      </c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  <c r="BN247" s="48"/>
      <c r="BO247" s="48"/>
      <c r="BP247" s="48"/>
      <c r="BQ247" s="48"/>
      <c r="BR247" s="48"/>
      <c r="BS247" s="48"/>
      <c r="BT247" s="48"/>
      <c r="BU247" s="48"/>
      <c r="BV247" s="48"/>
      <c r="BW247" s="48"/>
      <c r="BX247" s="48"/>
      <c r="BY247" s="48"/>
      <c r="BZ247" s="48"/>
      <c r="CA247" s="48"/>
      <c r="CB247" s="48"/>
      <c r="CC247" s="48"/>
      <c r="CD247" s="48"/>
      <c r="CE247" s="48"/>
      <c r="CF247" s="48"/>
      <c r="CG247" s="48"/>
      <c r="CH247" s="48"/>
      <c r="CI247" s="48"/>
      <c r="CJ247" s="48"/>
      <c r="CK247" s="48"/>
      <c r="CL247" s="48"/>
      <c r="CM247" s="48"/>
      <c r="CN247" s="48"/>
      <c r="CO247" s="48"/>
      <c r="CP247" s="48"/>
      <c r="CQ247" s="48"/>
      <c r="CR247" s="48"/>
      <c r="CS247" s="48"/>
      <c r="CT247" s="48"/>
      <c r="CU247" s="48"/>
      <c r="CV247" s="48"/>
      <c r="CW247" s="48"/>
      <c r="CX247" s="48"/>
      <c r="CY247" s="48"/>
      <c r="CZ247" s="48"/>
      <c r="DA247" s="48"/>
      <c r="DB247" s="48"/>
      <c r="DC247" s="48"/>
      <c r="DD247" s="48"/>
      <c r="DE247" s="48"/>
      <c r="DF247" s="48"/>
      <c r="DG247" s="48"/>
      <c r="DH247" s="48"/>
      <c r="DI247" s="48"/>
      <c r="DJ247" s="48"/>
      <c r="DK247" s="48"/>
      <c r="DL247" s="48"/>
      <c r="DM247" s="48"/>
      <c r="DN247" s="48"/>
      <c r="DO247" s="48"/>
      <c r="DP247" s="48"/>
      <c r="DQ247" s="48"/>
      <c r="DR247" s="48"/>
      <c r="DS247" s="48"/>
      <c r="DT247" s="48"/>
      <c r="DU247" s="48"/>
      <c r="DV247" s="48"/>
      <c r="DW247" s="48"/>
      <c r="DX247" s="48"/>
      <c r="DY247" s="48"/>
      <c r="DZ247" s="48"/>
      <c r="EA247" s="48"/>
      <c r="EB247" s="48"/>
      <c r="EC247" s="48"/>
      <c r="ED247" s="48"/>
      <c r="EE247" s="48"/>
      <c r="EF247" s="48"/>
      <c r="EG247" s="48"/>
      <c r="EH247" s="48"/>
      <c r="EI247" s="48"/>
      <c r="EJ247" s="48"/>
      <c r="EK247" s="48"/>
      <c r="EL247" s="48"/>
      <c r="EM247" s="48"/>
      <c r="EN247" s="48"/>
      <c r="EO247" s="48"/>
      <c r="EP247" s="48"/>
      <c r="EQ247" s="48"/>
      <c r="ER247" s="48"/>
      <c r="ES247" s="48"/>
      <c r="ET247" s="48"/>
      <c r="EU247" s="48"/>
      <c r="EV247" s="48"/>
      <c r="EW247" s="48"/>
      <c r="EX247" s="48"/>
      <c r="EY247" s="48"/>
      <c r="EZ247" s="48"/>
      <c r="FA247" s="48"/>
      <c r="FB247" s="48"/>
      <c r="FC247" s="48"/>
      <c r="FD247" s="48"/>
      <c r="FE247" s="48"/>
      <c r="FF247" s="48"/>
      <c r="FG247" s="48"/>
      <c r="FH247" s="48"/>
      <c r="FI247" s="48"/>
      <c r="FJ247" s="48"/>
      <c r="FK247" s="48"/>
      <c r="FL247" s="48"/>
      <c r="FM247" s="48"/>
      <c r="FN247" s="48"/>
      <c r="FO247" s="48"/>
      <c r="FP247" s="48"/>
      <c r="FQ247" s="48"/>
      <c r="FR247" s="48"/>
      <c r="FS247" s="48"/>
      <c r="FT247" s="48"/>
      <c r="FU247" s="48"/>
      <c r="FV247" s="48"/>
      <c r="FW247" s="48"/>
      <c r="FX247" s="48"/>
      <c r="FY247" s="48"/>
      <c r="FZ247" s="48"/>
      <c r="GA247" s="48"/>
      <c r="GB247" s="48"/>
      <c r="GC247" s="48"/>
      <c r="GD247" s="48"/>
      <c r="GE247" s="48"/>
      <c r="GF247" s="48"/>
      <c r="GG247" s="48"/>
      <c r="GH247" s="48"/>
      <c r="GI247" s="48"/>
      <c r="GJ247" s="48"/>
      <c r="GK247" s="48"/>
      <c r="GL247" s="48"/>
      <c r="GM247" s="48"/>
      <c r="GN247" s="48"/>
      <c r="GO247" s="48"/>
      <c r="GP247" s="48"/>
      <c r="GQ247" s="48"/>
      <c r="GR247" s="48"/>
      <c r="GS247" s="48"/>
      <c r="GT247" s="48"/>
      <c r="GU247" s="48"/>
      <c r="GV247" s="48"/>
      <c r="GW247" s="48"/>
      <c r="GX247" s="48"/>
      <c r="GY247" s="48"/>
      <c r="GZ247" s="48"/>
      <c r="HA247" s="48"/>
      <c r="HB247" s="48"/>
      <c r="HC247" s="48"/>
      <c r="HD247" s="48"/>
      <c r="HE247" s="48"/>
      <c r="HF247" s="48"/>
      <c r="HG247" s="48"/>
      <c r="HH247" s="48"/>
      <c r="HI247" s="48"/>
      <c r="HJ247" s="48"/>
      <c r="HK247" s="48"/>
      <c r="HL247" s="48"/>
      <c r="HM247" s="48"/>
      <c r="HN247" s="48"/>
      <c r="HO247" s="48"/>
      <c r="HP247" s="48"/>
      <c r="HQ247" s="48"/>
      <c r="HR247" s="48"/>
      <c r="HS247" s="48"/>
      <c r="HT247" s="48"/>
      <c r="HU247" s="48"/>
      <c r="HV247" s="48"/>
      <c r="HW247" s="48"/>
      <c r="HX247" s="48"/>
      <c r="HY247" s="48"/>
      <c r="HZ247" s="48"/>
      <c r="IA247" s="48"/>
      <c r="IB247" s="48"/>
      <c r="IC247" s="48"/>
      <c r="ID247" s="48"/>
      <c r="IE247" s="48"/>
      <c r="IF247" s="48"/>
      <c r="IG247" s="48"/>
      <c r="IH247" s="48"/>
      <c r="II247" s="48"/>
      <c r="IJ247" s="48"/>
      <c r="IK247" s="48"/>
      <c r="IL247" s="48"/>
      <c r="IM247" s="48"/>
      <c r="IN247" s="48"/>
      <c r="IO247" s="48"/>
      <c r="IP247" s="48"/>
      <c r="IQ247" s="48"/>
      <c r="IR247" s="48"/>
      <c r="IS247" s="48"/>
      <c r="IT247" s="48"/>
      <c r="IU247" s="48"/>
      <c r="IV247" s="48"/>
      <c r="IW247" s="48"/>
      <c r="IX247" s="48"/>
      <c r="IY247" s="48"/>
      <c r="IZ247" s="48"/>
      <c r="JA247" s="48"/>
      <c r="JB247" s="48"/>
      <c r="JC247" s="48"/>
      <c r="JD247" s="48"/>
      <c r="JE247" s="48"/>
      <c r="JF247" s="48"/>
      <c r="JG247" s="48"/>
      <c r="JH247" s="48"/>
      <c r="JI247" s="48"/>
      <c r="JJ247" s="48"/>
      <c r="JK247" s="48"/>
      <c r="JL247" s="48"/>
      <c r="JM247" s="48"/>
      <c r="JN247" s="48"/>
      <c r="JO247" s="48"/>
      <c r="JP247" s="48"/>
      <c r="JQ247" s="48"/>
      <c r="JR247" s="48"/>
      <c r="JS247" s="48"/>
      <c r="JT247" s="48"/>
      <c r="JU247" s="48"/>
      <c r="JV247" s="48"/>
      <c r="JW247" s="48"/>
      <c r="JX247" s="48"/>
      <c r="JY247" s="48"/>
      <c r="JZ247" s="48"/>
      <c r="KA247" s="48"/>
      <c r="KB247" s="48"/>
      <c r="KC247" s="48"/>
      <c r="KD247" s="48"/>
      <c r="KE247" s="48"/>
      <c r="KF247" s="48"/>
      <c r="KG247" s="48"/>
      <c r="KH247" s="48"/>
      <c r="KI247" s="48"/>
      <c r="KJ247" s="48"/>
      <c r="KK247" s="48"/>
      <c r="KL247" s="48"/>
      <c r="KM247" s="48"/>
      <c r="KN247" s="48"/>
      <c r="KO247" s="48"/>
      <c r="KP247" s="48"/>
      <c r="KQ247" s="48"/>
      <c r="KR247" s="48"/>
      <c r="KS247" s="48"/>
      <c r="KT247" s="48"/>
      <c r="KU247" s="48"/>
      <c r="KV247" s="48"/>
      <c r="KW247" s="48"/>
      <c r="KX247" s="48"/>
      <c r="KY247" s="48"/>
      <c r="KZ247" s="48"/>
      <c r="LA247" s="48"/>
      <c r="LB247" s="48"/>
      <c r="LC247" s="48"/>
      <c r="LD247" s="48"/>
      <c r="LE247" s="48"/>
      <c r="LF247" s="48"/>
      <c r="LG247" s="48"/>
      <c r="LH247" s="48"/>
      <c r="LI247" s="48"/>
      <c r="LJ247" s="48"/>
      <c r="LK247" s="48"/>
      <c r="LL247" s="48"/>
      <c r="LM247" s="48"/>
      <c r="LN247" s="48"/>
      <c r="LO247" s="48"/>
      <c r="LP247" s="48"/>
      <c r="LQ247" s="48"/>
      <c r="LR247" s="48"/>
      <c r="LS247" s="48"/>
      <c r="LT247" s="48"/>
      <c r="LU247" s="48"/>
      <c r="LV247" s="48"/>
      <c r="LW247" s="48"/>
      <c r="LX247" s="48"/>
      <c r="LY247" s="48"/>
      <c r="LZ247" s="48"/>
      <c r="MA247" s="48"/>
      <c r="MB247" s="48"/>
      <c r="MC247" s="48"/>
      <c r="MD247" s="48"/>
      <c r="ME247" s="48"/>
      <c r="MF247" s="48"/>
      <c r="MG247" s="48"/>
      <c r="MH247" s="48"/>
      <c r="MI247" s="48"/>
      <c r="MJ247" s="48"/>
      <c r="MK247" s="48"/>
      <c r="ML247" s="48"/>
      <c r="MM247" s="48"/>
      <c r="MN247" s="48"/>
      <c r="MO247" s="48"/>
      <c r="MP247" s="48"/>
      <c r="MQ247" s="48"/>
      <c r="MR247" s="48"/>
      <c r="MS247" s="48"/>
      <c r="MT247" s="48"/>
      <c r="MU247" s="48"/>
      <c r="MV247" s="48"/>
      <c r="MW247" s="48"/>
      <c r="MX247" s="48"/>
      <c r="MY247" s="48"/>
      <c r="MZ247" s="48"/>
      <c r="NA247" s="48"/>
      <c r="NB247" s="48"/>
      <c r="NC247" s="48"/>
      <c r="ND247" s="48"/>
      <c r="NE247" s="48"/>
      <c r="NF247" s="48"/>
      <c r="NG247" s="48"/>
      <c r="NH247" s="48"/>
      <c r="NI247" s="48"/>
      <c r="NJ247" s="48"/>
      <c r="NK247" s="48"/>
      <c r="NL247" s="48"/>
      <c r="NM247" s="48"/>
      <c r="NN247" s="48"/>
      <c r="NO247" s="48"/>
      <c r="NP247" s="48"/>
      <c r="NQ247" s="48"/>
      <c r="NR247" s="48"/>
      <c r="NS247" s="48"/>
      <c r="NT247" s="48"/>
      <c r="NU247" s="48"/>
      <c r="NV247" s="48"/>
      <c r="NW247" s="48"/>
      <c r="NX247" s="48"/>
      <c r="NY247" s="48"/>
      <c r="NZ247" s="48"/>
      <c r="OA247" s="48"/>
      <c r="OB247" s="48"/>
      <c r="OC247" s="48"/>
      <c r="OD247" s="48"/>
      <c r="OE247" s="48"/>
      <c r="OF247" s="48"/>
      <c r="OG247" s="48"/>
      <c r="OH247" s="48"/>
      <c r="OI247" s="48"/>
      <c r="OJ247" s="48"/>
      <c r="OK247" s="48"/>
      <c r="OL247" s="48"/>
      <c r="OM247" s="48"/>
      <c r="ON247" s="48"/>
      <c r="OO247" s="48"/>
      <c r="OP247" s="48"/>
      <c r="OQ247" s="48"/>
      <c r="OR247" s="48"/>
      <c r="OS247" s="48"/>
      <c r="OT247" s="48"/>
      <c r="OU247" s="48"/>
      <c r="OV247" s="48"/>
      <c r="OW247" s="48"/>
      <c r="OX247" s="48"/>
      <c r="OY247" s="48"/>
      <c r="OZ247" s="48"/>
      <c r="PA247" s="48"/>
      <c r="PB247" s="48"/>
      <c r="PC247" s="48"/>
      <c r="PD247" s="48"/>
      <c r="PE247" s="48"/>
      <c r="PF247" s="48"/>
      <c r="PG247" s="48"/>
      <c r="PH247" s="48"/>
      <c r="PI247" s="48"/>
      <c r="PJ247" s="48"/>
      <c r="PK247" s="48"/>
      <c r="PL247" s="48"/>
      <c r="PM247" s="48"/>
      <c r="PN247" s="48"/>
      <c r="PO247" s="48"/>
      <c r="PP247" s="48"/>
      <c r="PQ247" s="48"/>
      <c r="PR247" s="48"/>
      <c r="PS247" s="48"/>
      <c r="PT247" s="48"/>
      <c r="PU247" s="48"/>
      <c r="PV247" s="48"/>
      <c r="PW247" s="48"/>
      <c r="PX247" s="48"/>
      <c r="PY247" s="48"/>
      <c r="PZ247" s="48"/>
      <c r="QA247" s="48"/>
      <c r="QB247" s="48"/>
      <c r="QC247" s="48"/>
      <c r="QD247" s="48"/>
      <c r="QE247" s="48"/>
      <c r="QF247" s="48"/>
      <c r="QG247" s="48"/>
      <c r="QH247" s="48"/>
      <c r="QI247" s="48"/>
      <c r="QJ247" s="48"/>
      <c r="QK247" s="48"/>
      <c r="QL247" s="48"/>
      <c r="QM247" s="48"/>
      <c r="QN247" s="48"/>
      <c r="QO247" s="48"/>
      <c r="QP247" s="48"/>
      <c r="QQ247" s="48"/>
      <c r="QR247" s="48"/>
      <c r="QS247" s="48"/>
      <c r="QT247" s="48"/>
      <c r="QU247" s="48"/>
      <c r="QV247" s="48"/>
      <c r="QW247" s="48"/>
      <c r="QX247" s="48"/>
      <c r="QY247" s="48"/>
      <c r="QZ247" s="48"/>
      <c r="RA247" s="48"/>
      <c r="RB247" s="48"/>
      <c r="RC247" s="48"/>
      <c r="RD247" s="48"/>
      <c r="RE247" s="48"/>
      <c r="RF247" s="48"/>
      <c r="RG247" s="48"/>
      <c r="RH247" s="48"/>
      <c r="RI247" s="48"/>
      <c r="RJ247" s="48"/>
      <c r="RK247" s="48"/>
      <c r="RL247" s="48"/>
      <c r="RM247" s="48"/>
      <c r="RN247" s="48"/>
      <c r="RO247" s="48"/>
      <c r="RP247" s="48"/>
      <c r="RQ247" s="48"/>
      <c r="RR247" s="48"/>
      <c r="RS247" s="48"/>
      <c r="RT247" s="48"/>
      <c r="RU247" s="48"/>
      <c r="RV247" s="48"/>
      <c r="RW247" s="48"/>
      <c r="RX247" s="48"/>
      <c r="RY247" s="48"/>
      <c r="RZ247" s="48"/>
      <c r="SA247" s="48"/>
      <c r="SB247" s="48"/>
      <c r="SC247" s="48"/>
      <c r="SD247" s="48"/>
      <c r="SE247" s="48"/>
      <c r="SF247" s="48"/>
      <c r="SG247" s="48"/>
      <c r="SH247" s="48"/>
      <c r="SI247" s="48"/>
      <c r="SJ247" s="48"/>
      <c r="SK247" s="48"/>
      <c r="SL247" s="48"/>
      <c r="SM247" s="48"/>
      <c r="SN247" s="48"/>
      <c r="SO247" s="48"/>
      <c r="SP247" s="48"/>
      <c r="SQ247" s="48"/>
      <c r="SR247" s="48"/>
      <c r="SS247" s="48"/>
      <c r="ST247" s="48"/>
      <c r="SU247" s="48"/>
      <c r="SV247" s="48"/>
      <c r="SW247" s="48"/>
      <c r="SX247" s="48"/>
      <c r="SY247" s="48"/>
      <c r="SZ247" s="48"/>
      <c r="TA247" s="48"/>
      <c r="TB247" s="48"/>
      <c r="TC247" s="48"/>
      <c r="TD247" s="48"/>
      <c r="TE247" s="48"/>
      <c r="TF247" s="48"/>
      <c r="TG247" s="48"/>
      <c r="TH247" s="48"/>
      <c r="TI247" s="48"/>
      <c r="TJ247" s="48"/>
      <c r="TK247" s="48"/>
      <c r="TL247" s="48"/>
      <c r="TM247" s="48"/>
      <c r="TN247" s="48"/>
      <c r="TO247" s="48"/>
      <c r="TP247" s="48"/>
      <c r="TQ247" s="48"/>
      <c r="TR247" s="48"/>
      <c r="TS247" s="48"/>
      <c r="TT247" s="48"/>
      <c r="TU247" s="48"/>
      <c r="TV247" s="48"/>
      <c r="TW247" s="48"/>
      <c r="TX247" s="48"/>
      <c r="TY247" s="48"/>
      <c r="TZ247" s="48"/>
      <c r="UA247" s="48"/>
      <c r="UB247" s="48"/>
      <c r="UC247" s="48"/>
      <c r="UD247" s="48"/>
      <c r="UE247" s="48"/>
      <c r="UF247" s="48"/>
      <c r="UG247" s="48"/>
      <c r="UH247" s="48"/>
      <c r="UI247" s="48"/>
      <c r="UJ247" s="48"/>
      <c r="UK247" s="48"/>
      <c r="UL247" s="48"/>
      <c r="UM247" s="48"/>
      <c r="UN247" s="48"/>
      <c r="UO247" s="48"/>
      <c r="UP247" s="48"/>
      <c r="UQ247" s="48"/>
      <c r="UR247" s="48"/>
      <c r="US247" s="48"/>
      <c r="UT247" s="48"/>
      <c r="UU247" s="48"/>
      <c r="UV247" s="48"/>
      <c r="UW247" s="48"/>
      <c r="UX247" s="48"/>
      <c r="UY247" s="48"/>
      <c r="UZ247" s="48"/>
      <c r="VA247" s="48"/>
      <c r="VB247" s="48"/>
      <c r="VC247" s="48"/>
      <c r="VD247" s="48"/>
      <c r="VE247" s="48"/>
      <c r="VF247" s="48"/>
      <c r="VG247" s="48"/>
      <c r="VH247" s="48"/>
      <c r="VI247" s="48"/>
      <c r="VJ247" s="48"/>
      <c r="VK247" s="48"/>
      <c r="VL247" s="48"/>
      <c r="VM247" s="48"/>
      <c r="VN247" s="48"/>
      <c r="VO247" s="48"/>
      <c r="VP247" s="48"/>
      <c r="VQ247" s="48"/>
      <c r="VR247" s="48"/>
      <c r="VS247" s="48"/>
      <c r="VT247" s="48"/>
      <c r="VU247" s="48"/>
      <c r="VV247" s="48"/>
      <c r="VW247" s="48"/>
      <c r="VX247" s="48"/>
      <c r="VY247" s="48"/>
      <c r="VZ247" s="48"/>
      <c r="WA247" s="48"/>
      <c r="WB247" s="48"/>
      <c r="WC247" s="48"/>
      <c r="WD247" s="48"/>
      <c r="WE247" s="48"/>
      <c r="WF247" s="48"/>
      <c r="WG247" s="48"/>
      <c r="WH247" s="48"/>
      <c r="WI247" s="48"/>
      <c r="WJ247" s="48"/>
      <c r="WK247" s="48"/>
      <c r="WL247" s="48"/>
      <c r="WM247" s="48"/>
      <c r="WN247" s="48"/>
      <c r="WO247" s="48"/>
      <c r="WP247" s="48"/>
      <c r="WQ247" s="48"/>
      <c r="WR247" s="48"/>
      <c r="WS247" s="48"/>
      <c r="WT247" s="48"/>
      <c r="WU247" s="48"/>
      <c r="WV247" s="48"/>
      <c r="WW247" s="48"/>
      <c r="WX247" s="48"/>
      <c r="WY247" s="48"/>
      <c r="WZ247" s="48"/>
      <c r="XA247" s="48"/>
      <c r="XB247" s="48"/>
      <c r="XC247" s="48"/>
      <c r="XD247" s="48"/>
      <c r="XE247" s="48"/>
      <c r="XF247" s="48"/>
      <c r="XG247" s="48"/>
      <c r="XH247" s="48"/>
      <c r="XI247" s="48"/>
      <c r="XJ247" s="48"/>
      <c r="XK247" s="48"/>
      <c r="XL247" s="48"/>
      <c r="XM247" s="48"/>
      <c r="XN247" s="48"/>
      <c r="XO247" s="48"/>
      <c r="XP247" s="48"/>
      <c r="XQ247" s="48"/>
      <c r="XR247" s="48"/>
      <c r="XS247" s="48"/>
      <c r="XT247" s="48"/>
      <c r="XU247" s="48"/>
      <c r="XV247" s="48"/>
      <c r="XW247" s="48"/>
      <c r="XX247" s="48"/>
      <c r="XY247" s="48"/>
      <c r="XZ247" s="48"/>
      <c r="YA247" s="48"/>
      <c r="YB247" s="48"/>
      <c r="YC247" s="48"/>
      <c r="YD247" s="48"/>
      <c r="YE247" s="48"/>
      <c r="YF247" s="48"/>
      <c r="YG247" s="48"/>
      <c r="YH247" s="48"/>
      <c r="YI247" s="48"/>
      <c r="YJ247" s="48"/>
      <c r="YK247" s="48"/>
      <c r="YL247" s="48"/>
      <c r="YM247" s="48"/>
      <c r="YN247" s="48"/>
      <c r="YO247" s="48"/>
      <c r="YP247" s="48"/>
      <c r="YQ247" s="48"/>
      <c r="YR247" s="48"/>
      <c r="YS247" s="48"/>
      <c r="YT247" s="48"/>
      <c r="YU247" s="48"/>
      <c r="YV247" s="48"/>
      <c r="YW247" s="48"/>
      <c r="YX247" s="48"/>
      <c r="YY247" s="48"/>
      <c r="YZ247" s="48"/>
      <c r="ZA247" s="48"/>
      <c r="ZB247" s="48"/>
      <c r="ZC247" s="48"/>
      <c r="ZD247" s="48"/>
      <c r="ZE247" s="48"/>
      <c r="ZF247" s="48"/>
      <c r="ZG247" s="48"/>
      <c r="ZH247" s="48"/>
      <c r="ZI247" s="48"/>
      <c r="ZJ247" s="48"/>
      <c r="ZK247" s="48"/>
      <c r="ZL247" s="48"/>
      <c r="ZM247" s="48"/>
      <c r="ZN247" s="48"/>
      <c r="ZO247" s="48"/>
      <c r="ZP247" s="48"/>
      <c r="ZQ247" s="48"/>
      <c r="ZR247" s="48"/>
      <c r="ZS247" s="48"/>
      <c r="ZT247" s="48"/>
      <c r="ZU247" s="48"/>
      <c r="ZV247" s="48"/>
      <c r="ZW247" s="48"/>
      <c r="ZX247" s="48"/>
      <c r="ZY247" s="48"/>
      <c r="ZZ247" s="48"/>
      <c r="AAA247" s="48"/>
      <c r="AAB247" s="48"/>
      <c r="AAC247" s="48"/>
      <c r="AAD247" s="48"/>
      <c r="AAE247" s="48"/>
      <c r="AAF247" s="48"/>
      <c r="AAG247" s="48"/>
      <c r="AAH247" s="48"/>
      <c r="AAI247" s="48"/>
      <c r="AAJ247" s="48"/>
      <c r="AAK247" s="48"/>
      <c r="AAL247" s="48"/>
      <c r="AAM247" s="48"/>
      <c r="AAN247" s="48"/>
      <c r="AAO247" s="48"/>
      <c r="AAP247" s="48"/>
      <c r="AAQ247" s="48"/>
      <c r="AAR247" s="48"/>
      <c r="AAS247" s="48"/>
      <c r="AAT247" s="48"/>
      <c r="AAU247" s="48"/>
      <c r="AAV247" s="48"/>
      <c r="AAW247" s="48"/>
      <c r="AAX247" s="48"/>
      <c r="AAY247" s="48"/>
      <c r="AAZ247" s="48"/>
      <c r="ABA247" s="48"/>
      <c r="ABB247" s="48"/>
      <c r="ABC247" s="48"/>
      <c r="ABD247" s="48"/>
      <c r="ABE247" s="48"/>
      <c r="ABF247" s="48"/>
      <c r="ABG247" s="48"/>
      <c r="ABH247" s="48"/>
      <c r="ABI247" s="48"/>
      <c r="ABJ247" s="48"/>
      <c r="ABK247" s="48"/>
      <c r="ABL247" s="48"/>
      <c r="ABM247" s="48"/>
      <c r="ABN247" s="48"/>
      <c r="ABO247" s="48"/>
      <c r="ABP247" s="48"/>
      <c r="ABQ247" s="48"/>
      <c r="ABR247" s="48"/>
      <c r="ABS247" s="48"/>
      <c r="ABT247" s="48"/>
      <c r="ABU247" s="48"/>
      <c r="ABV247" s="48"/>
      <c r="ABW247" s="48"/>
      <c r="ABX247" s="48"/>
      <c r="ABY247" s="48"/>
      <c r="ABZ247" s="48"/>
      <c r="ACA247" s="48"/>
      <c r="ACB247" s="48"/>
      <c r="ACC247" s="48"/>
      <c r="ACD247" s="48"/>
      <c r="ACE247" s="48"/>
      <c r="ACF247" s="48"/>
      <c r="ACG247" s="48"/>
      <c r="ACH247" s="48"/>
      <c r="ACI247" s="48"/>
      <c r="ACJ247" s="48"/>
      <c r="ACK247" s="48"/>
      <c r="ACL247" s="48"/>
      <c r="ACM247" s="48"/>
      <c r="ACN247" s="48"/>
      <c r="ACO247" s="48"/>
      <c r="ACP247" s="48"/>
      <c r="ACQ247" s="48"/>
      <c r="ACR247" s="48"/>
      <c r="ACS247" s="48"/>
      <c r="ACT247" s="48"/>
      <c r="ACU247" s="48"/>
      <c r="ACV247" s="48"/>
      <c r="ACW247" s="48"/>
      <c r="ACX247" s="48"/>
      <c r="ACY247" s="48"/>
      <c r="ACZ247" s="48"/>
      <c r="ADA247" s="48"/>
      <c r="ADB247" s="48"/>
      <c r="ADC247" s="48"/>
      <c r="ADD247" s="48"/>
      <c r="ADE247" s="48"/>
      <c r="ADF247" s="48"/>
      <c r="ADG247" s="48"/>
      <c r="ADH247" s="48"/>
      <c r="ADI247" s="48"/>
      <c r="ADJ247" s="48"/>
      <c r="ADK247" s="48"/>
      <c r="ADL247" s="48"/>
      <c r="ADM247" s="48"/>
      <c r="ADN247" s="48"/>
      <c r="ADO247" s="48"/>
      <c r="ADP247" s="48"/>
      <c r="ADQ247" s="48"/>
      <c r="ADR247" s="48"/>
      <c r="ADS247" s="48"/>
      <c r="ADT247" s="48"/>
      <c r="ADU247" s="48"/>
      <c r="ADV247" s="48"/>
      <c r="ADW247" s="48"/>
      <c r="ADX247" s="48"/>
      <c r="ADY247" s="48"/>
      <c r="ADZ247" s="48"/>
      <c r="AEA247" s="48"/>
      <c r="AEB247" s="48"/>
      <c r="AEC247" s="48"/>
      <c r="AED247" s="48"/>
      <c r="AEE247" s="48"/>
      <c r="AEF247" s="48"/>
      <c r="AEG247" s="48"/>
      <c r="AEH247" s="48"/>
      <c r="AEI247" s="48"/>
      <c r="AEJ247" s="48"/>
      <c r="AEK247" s="48"/>
      <c r="AEL247" s="48"/>
      <c r="AEM247" s="48"/>
      <c r="AEN247" s="48"/>
      <c r="AEO247" s="48"/>
      <c r="AEP247" s="48"/>
      <c r="AEQ247" s="48"/>
      <c r="AER247" s="48"/>
      <c r="AES247" s="48"/>
      <c r="AET247" s="48"/>
      <c r="AEU247" s="48"/>
      <c r="AEV247" s="48"/>
      <c r="AEW247" s="48"/>
      <c r="AEX247" s="48"/>
      <c r="AEY247" s="48"/>
      <c r="AEZ247" s="48"/>
      <c r="AFA247" s="48"/>
      <c r="AFB247" s="48"/>
      <c r="AFC247" s="48"/>
      <c r="AFD247" s="48"/>
      <c r="AFE247" s="48"/>
      <c r="AFF247" s="48"/>
      <c r="AFG247" s="48"/>
      <c r="AFH247" s="48"/>
      <c r="AFI247" s="48"/>
      <c r="AFJ247" s="48"/>
      <c r="AFK247" s="48"/>
      <c r="AFL247" s="48"/>
      <c r="AFM247" s="48"/>
      <c r="AFN247" s="48"/>
      <c r="AFO247" s="48"/>
      <c r="AFP247" s="48"/>
      <c r="AFQ247" s="48"/>
      <c r="AFR247" s="48"/>
      <c r="AFS247" s="48"/>
      <c r="AFT247" s="48"/>
      <c r="AFU247" s="48"/>
      <c r="AFV247" s="48"/>
      <c r="AFW247" s="48"/>
      <c r="AFX247" s="48"/>
      <c r="AFY247" s="48"/>
      <c r="AFZ247" s="48"/>
      <c r="AGA247" s="48"/>
      <c r="AGB247" s="48"/>
      <c r="AGC247" s="48"/>
      <c r="AGD247" s="48"/>
      <c r="AGE247" s="48"/>
      <c r="AGF247" s="48"/>
      <c r="AGG247" s="48"/>
      <c r="AGH247" s="48"/>
      <c r="AGI247" s="48"/>
      <c r="AGJ247" s="48"/>
      <c r="AGK247" s="48"/>
      <c r="AGL247" s="48"/>
      <c r="AGM247" s="48"/>
      <c r="AGN247" s="48"/>
      <c r="AGO247" s="48"/>
      <c r="AGP247" s="48"/>
      <c r="AGQ247" s="48"/>
      <c r="AGR247" s="48"/>
      <c r="AGS247" s="48"/>
      <c r="AGT247" s="48"/>
      <c r="AGU247" s="48"/>
      <c r="AGV247" s="48"/>
      <c r="AGW247" s="48"/>
      <c r="AGX247" s="48"/>
      <c r="AGY247" s="48"/>
      <c r="AGZ247" s="48"/>
      <c r="AHA247" s="48"/>
      <c r="AHB247" s="48"/>
      <c r="AHC247" s="48"/>
      <c r="AHD247" s="48"/>
      <c r="AHE247" s="48"/>
      <c r="AHF247" s="48"/>
      <c r="AHG247" s="48"/>
      <c r="AHH247" s="48"/>
      <c r="AHI247" s="48"/>
      <c r="AHJ247" s="48"/>
      <c r="AHK247" s="48"/>
      <c r="AHL247" s="48"/>
      <c r="AHM247" s="48"/>
      <c r="AHN247" s="48"/>
      <c r="AHO247" s="48"/>
      <c r="AHP247" s="48"/>
      <c r="AHQ247" s="48"/>
      <c r="AHR247" s="48"/>
      <c r="AHS247" s="48"/>
      <c r="AHT247" s="48"/>
      <c r="AHU247" s="48"/>
      <c r="AHV247" s="48"/>
      <c r="AHW247" s="48"/>
      <c r="AHX247" s="48"/>
      <c r="AHY247" s="48"/>
      <c r="AHZ247" s="48"/>
      <c r="AIA247" s="48"/>
      <c r="AIB247" s="48"/>
      <c r="AIC247" s="48"/>
      <c r="AID247" s="48"/>
      <c r="AIE247" s="48"/>
      <c r="AIF247" s="48"/>
      <c r="AIG247" s="48"/>
      <c r="AIH247" s="48"/>
      <c r="AII247" s="48"/>
      <c r="AIJ247" s="48"/>
      <c r="AIK247" s="48"/>
      <c r="AIL247" s="48"/>
      <c r="AIM247" s="48"/>
      <c r="AIN247" s="48"/>
      <c r="AIO247" s="48"/>
      <c r="AIP247" s="48"/>
      <c r="AIQ247" s="48"/>
      <c r="AIR247" s="48"/>
      <c r="AIS247" s="48"/>
      <c r="AIT247" s="48"/>
      <c r="AIU247" s="48"/>
      <c r="AIV247" s="48"/>
      <c r="AIW247" s="48"/>
      <c r="AIX247" s="48"/>
      <c r="AIY247" s="48"/>
      <c r="AIZ247" s="48"/>
      <c r="AJA247" s="48"/>
      <c r="AJB247" s="48"/>
      <c r="AJC247" s="48"/>
      <c r="AJD247" s="48"/>
      <c r="AJE247" s="48"/>
      <c r="AJF247" s="48"/>
      <c r="AJG247" s="48"/>
      <c r="AJH247" s="48"/>
      <c r="AJI247" s="48"/>
      <c r="AJJ247" s="48"/>
      <c r="AJK247" s="48"/>
      <c r="AJL247" s="48"/>
      <c r="AJM247" s="48"/>
      <c r="AJN247" s="48"/>
      <c r="AJO247" s="48"/>
      <c r="AJP247" s="48"/>
      <c r="AJQ247" s="48"/>
      <c r="AJR247" s="48"/>
      <c r="AJS247" s="48"/>
      <c r="AJT247" s="48"/>
      <c r="AJU247" s="48"/>
      <c r="AJV247" s="48"/>
      <c r="AJW247" s="48"/>
      <c r="AJX247" s="48"/>
      <c r="AJY247" s="48"/>
      <c r="AJZ247" s="48"/>
      <c r="AKA247" s="48"/>
      <c r="AKB247" s="48"/>
      <c r="AKC247" s="48"/>
      <c r="AKD247" s="48"/>
      <c r="AKE247" s="48"/>
      <c r="AKF247" s="48"/>
      <c r="AKG247" s="48"/>
      <c r="AKH247" s="48"/>
      <c r="AKI247" s="48"/>
      <c r="AKJ247" s="48"/>
      <c r="AKK247" s="48"/>
      <c r="AKL247" s="48"/>
      <c r="AKM247" s="48"/>
      <c r="AKN247" s="48"/>
      <c r="AKO247" s="48"/>
      <c r="AKP247" s="48"/>
      <c r="AKQ247" s="48"/>
      <c r="AKR247" s="48"/>
      <c r="AKS247" s="48"/>
      <c r="AKT247" s="48"/>
      <c r="AKU247" s="48"/>
      <c r="AKV247" s="48"/>
      <c r="AKW247" s="48"/>
      <c r="AKX247" s="48"/>
      <c r="AKY247" s="48"/>
      <c r="AKZ247" s="48"/>
      <c r="ALA247" s="48"/>
      <c r="ALB247" s="48"/>
      <c r="ALC247" s="48"/>
      <c r="ALD247" s="48"/>
      <c r="ALE247" s="48"/>
      <c r="ALF247" s="48"/>
      <c r="ALG247" s="48"/>
      <c r="ALH247" s="48"/>
      <c r="ALI247" s="48"/>
      <c r="ALJ247" s="48"/>
      <c r="ALK247" s="48"/>
      <c r="ALL247" s="48"/>
      <c r="ALM247" s="48"/>
      <c r="ALN247" s="48"/>
      <c r="ALO247" s="48"/>
      <c r="ALP247" s="48"/>
      <c r="ALQ247" s="48"/>
      <c r="ALR247" s="48"/>
      <c r="ALS247" s="48"/>
      <c r="ALT247" s="48"/>
      <c r="ALU247" s="48"/>
      <c r="ALV247" s="48"/>
      <c r="ALW247" s="48"/>
      <c r="ALX247" s="48"/>
      <c r="ALY247" s="48"/>
      <c r="ALZ247" s="48"/>
      <c r="AMA247" s="48"/>
      <c r="AMB247" s="48"/>
      <c r="AMC247" s="48"/>
      <c r="AMD247" s="48"/>
      <c r="AME247" s="48"/>
      <c r="AMF247" s="48"/>
      <c r="AMG247" s="48"/>
      <c r="AMH247" s="48"/>
      <c r="AMI247" s="48"/>
      <c r="AMJ247" s="48"/>
      <c r="AMK247" s="48"/>
    </row>
    <row r="248" spans="1:1025" s="80" customFormat="1" ht="31.5" x14ac:dyDescent="0.25">
      <c r="A248" s="140" t="s">
        <v>615</v>
      </c>
      <c r="B248" s="54" t="s">
        <v>138</v>
      </c>
      <c r="C248" s="55">
        <v>1.43</v>
      </c>
      <c r="D248" s="55">
        <v>6.12</v>
      </c>
      <c r="E248" s="55">
        <v>18.149999999999999</v>
      </c>
      <c r="F248" s="55">
        <v>133.44399999999999</v>
      </c>
      <c r="G248" s="55">
        <v>37.72</v>
      </c>
      <c r="H248" s="55">
        <v>21.8</v>
      </c>
      <c r="I248" s="55">
        <v>1.43</v>
      </c>
      <c r="J248" s="55">
        <v>0</v>
      </c>
      <c r="K248" s="120" t="s">
        <v>244</v>
      </c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  <c r="BR248" s="48"/>
      <c r="BS248" s="48"/>
      <c r="BT248" s="48"/>
      <c r="BU248" s="48"/>
      <c r="BV248" s="48"/>
      <c r="BW248" s="48"/>
      <c r="BX248" s="48"/>
      <c r="BY248" s="48"/>
      <c r="BZ248" s="48"/>
      <c r="CA248" s="48"/>
      <c r="CB248" s="48"/>
      <c r="CC248" s="48"/>
      <c r="CD248" s="48"/>
      <c r="CE248" s="48"/>
      <c r="CF248" s="48"/>
      <c r="CG248" s="48"/>
      <c r="CH248" s="48"/>
      <c r="CI248" s="48"/>
      <c r="CJ248" s="48"/>
      <c r="CK248" s="48"/>
      <c r="CL248" s="48"/>
      <c r="CM248" s="48"/>
      <c r="CN248" s="48"/>
      <c r="CO248" s="48"/>
      <c r="CP248" s="48"/>
      <c r="CQ248" s="48"/>
      <c r="CR248" s="48"/>
      <c r="CS248" s="48"/>
      <c r="CT248" s="48"/>
      <c r="CU248" s="48"/>
      <c r="CV248" s="48"/>
      <c r="CW248" s="48"/>
      <c r="CX248" s="48"/>
      <c r="CY248" s="48"/>
      <c r="CZ248" s="48"/>
      <c r="DA248" s="48"/>
      <c r="DB248" s="48"/>
      <c r="DC248" s="48"/>
      <c r="DD248" s="48"/>
      <c r="DE248" s="48"/>
      <c r="DF248" s="48"/>
      <c r="DG248" s="48"/>
      <c r="DH248" s="48"/>
      <c r="DI248" s="48"/>
      <c r="DJ248" s="48"/>
      <c r="DK248" s="48"/>
      <c r="DL248" s="48"/>
      <c r="DM248" s="48"/>
      <c r="DN248" s="48"/>
      <c r="DO248" s="48"/>
      <c r="DP248" s="48"/>
      <c r="DQ248" s="48"/>
      <c r="DR248" s="48"/>
      <c r="DS248" s="48"/>
      <c r="DT248" s="48"/>
      <c r="DU248" s="48"/>
      <c r="DV248" s="48"/>
      <c r="DW248" s="48"/>
      <c r="DX248" s="48"/>
      <c r="DY248" s="48"/>
      <c r="DZ248" s="48"/>
      <c r="EA248" s="48"/>
      <c r="EB248" s="48"/>
      <c r="EC248" s="48"/>
      <c r="ED248" s="48"/>
      <c r="EE248" s="48"/>
      <c r="EF248" s="48"/>
      <c r="EG248" s="48"/>
      <c r="EH248" s="48"/>
      <c r="EI248" s="48"/>
      <c r="EJ248" s="48"/>
      <c r="EK248" s="48"/>
      <c r="EL248" s="48"/>
      <c r="EM248" s="48"/>
      <c r="EN248" s="48"/>
      <c r="EO248" s="48"/>
      <c r="EP248" s="48"/>
      <c r="EQ248" s="48"/>
      <c r="ER248" s="48"/>
      <c r="ES248" s="48"/>
      <c r="ET248" s="48"/>
      <c r="EU248" s="48"/>
      <c r="EV248" s="48"/>
      <c r="EW248" s="48"/>
      <c r="EX248" s="48"/>
      <c r="EY248" s="48"/>
      <c r="EZ248" s="48"/>
      <c r="FA248" s="48"/>
      <c r="FB248" s="48"/>
      <c r="FC248" s="48"/>
      <c r="FD248" s="48"/>
      <c r="FE248" s="48"/>
      <c r="FF248" s="48"/>
      <c r="FG248" s="48"/>
      <c r="FH248" s="48"/>
      <c r="FI248" s="48"/>
      <c r="FJ248" s="48"/>
      <c r="FK248" s="48"/>
      <c r="FL248" s="48"/>
      <c r="FM248" s="48"/>
      <c r="FN248" s="48"/>
      <c r="FO248" s="48"/>
      <c r="FP248" s="48"/>
      <c r="FQ248" s="48"/>
      <c r="FR248" s="48"/>
      <c r="FS248" s="48"/>
      <c r="FT248" s="48"/>
      <c r="FU248" s="48"/>
      <c r="FV248" s="48"/>
      <c r="FW248" s="48"/>
      <c r="FX248" s="48"/>
      <c r="FY248" s="48"/>
      <c r="FZ248" s="48"/>
      <c r="GA248" s="48"/>
      <c r="GB248" s="48"/>
      <c r="GC248" s="48"/>
      <c r="GD248" s="48"/>
      <c r="GE248" s="48"/>
      <c r="GF248" s="48"/>
      <c r="GG248" s="48"/>
      <c r="GH248" s="48"/>
      <c r="GI248" s="48"/>
      <c r="GJ248" s="48"/>
      <c r="GK248" s="48"/>
      <c r="GL248" s="48"/>
      <c r="GM248" s="48"/>
      <c r="GN248" s="48"/>
      <c r="GO248" s="48"/>
      <c r="GP248" s="48"/>
      <c r="GQ248" s="48"/>
      <c r="GR248" s="48"/>
      <c r="GS248" s="48"/>
      <c r="GT248" s="48"/>
      <c r="GU248" s="48"/>
      <c r="GV248" s="48"/>
      <c r="GW248" s="48"/>
      <c r="GX248" s="48"/>
      <c r="GY248" s="48"/>
      <c r="GZ248" s="48"/>
      <c r="HA248" s="48"/>
      <c r="HB248" s="48"/>
      <c r="HC248" s="48"/>
      <c r="HD248" s="48"/>
      <c r="HE248" s="48"/>
      <c r="HF248" s="48"/>
      <c r="HG248" s="48"/>
      <c r="HH248" s="48"/>
      <c r="HI248" s="48"/>
      <c r="HJ248" s="48"/>
      <c r="HK248" s="48"/>
      <c r="HL248" s="48"/>
      <c r="HM248" s="48"/>
      <c r="HN248" s="48"/>
      <c r="HO248" s="48"/>
      <c r="HP248" s="48"/>
      <c r="HQ248" s="48"/>
      <c r="HR248" s="48"/>
      <c r="HS248" s="48"/>
      <c r="HT248" s="48"/>
      <c r="HU248" s="48"/>
      <c r="HV248" s="48"/>
      <c r="HW248" s="48"/>
      <c r="HX248" s="48"/>
      <c r="HY248" s="48"/>
      <c r="HZ248" s="48"/>
      <c r="IA248" s="48"/>
      <c r="IB248" s="48"/>
      <c r="IC248" s="48"/>
      <c r="ID248" s="48"/>
      <c r="IE248" s="48"/>
      <c r="IF248" s="48"/>
      <c r="IG248" s="48"/>
      <c r="IH248" s="48"/>
      <c r="II248" s="48"/>
      <c r="IJ248" s="48"/>
      <c r="IK248" s="48"/>
      <c r="IL248" s="48"/>
      <c r="IM248" s="48"/>
      <c r="IN248" s="48"/>
      <c r="IO248" s="48"/>
      <c r="IP248" s="48"/>
      <c r="IQ248" s="48"/>
      <c r="IR248" s="48"/>
      <c r="IS248" s="48"/>
      <c r="IT248" s="48"/>
      <c r="IU248" s="48"/>
      <c r="IV248" s="48"/>
      <c r="IW248" s="48"/>
      <c r="IX248" s="48"/>
      <c r="IY248" s="48"/>
      <c r="IZ248" s="48"/>
      <c r="JA248" s="48"/>
      <c r="JB248" s="48"/>
      <c r="JC248" s="48"/>
      <c r="JD248" s="48"/>
      <c r="JE248" s="48"/>
      <c r="JF248" s="48"/>
      <c r="JG248" s="48"/>
      <c r="JH248" s="48"/>
      <c r="JI248" s="48"/>
      <c r="JJ248" s="48"/>
      <c r="JK248" s="48"/>
      <c r="JL248" s="48"/>
      <c r="JM248" s="48"/>
      <c r="JN248" s="48"/>
      <c r="JO248" s="48"/>
      <c r="JP248" s="48"/>
      <c r="JQ248" s="48"/>
      <c r="JR248" s="48"/>
      <c r="JS248" s="48"/>
      <c r="JT248" s="48"/>
      <c r="JU248" s="48"/>
      <c r="JV248" s="48"/>
      <c r="JW248" s="48"/>
      <c r="JX248" s="48"/>
      <c r="JY248" s="48"/>
      <c r="JZ248" s="48"/>
      <c r="KA248" s="48"/>
      <c r="KB248" s="48"/>
      <c r="KC248" s="48"/>
      <c r="KD248" s="48"/>
      <c r="KE248" s="48"/>
      <c r="KF248" s="48"/>
      <c r="KG248" s="48"/>
      <c r="KH248" s="48"/>
      <c r="KI248" s="48"/>
      <c r="KJ248" s="48"/>
      <c r="KK248" s="48"/>
      <c r="KL248" s="48"/>
      <c r="KM248" s="48"/>
      <c r="KN248" s="48"/>
      <c r="KO248" s="48"/>
      <c r="KP248" s="48"/>
      <c r="KQ248" s="48"/>
      <c r="KR248" s="48"/>
      <c r="KS248" s="48"/>
      <c r="KT248" s="48"/>
      <c r="KU248" s="48"/>
      <c r="KV248" s="48"/>
      <c r="KW248" s="48"/>
      <c r="KX248" s="48"/>
      <c r="KY248" s="48"/>
      <c r="KZ248" s="48"/>
      <c r="LA248" s="48"/>
      <c r="LB248" s="48"/>
      <c r="LC248" s="48"/>
      <c r="LD248" s="48"/>
      <c r="LE248" s="48"/>
      <c r="LF248" s="48"/>
      <c r="LG248" s="48"/>
      <c r="LH248" s="48"/>
      <c r="LI248" s="48"/>
      <c r="LJ248" s="48"/>
      <c r="LK248" s="48"/>
      <c r="LL248" s="48"/>
      <c r="LM248" s="48"/>
      <c r="LN248" s="48"/>
      <c r="LO248" s="48"/>
      <c r="LP248" s="48"/>
      <c r="LQ248" s="48"/>
      <c r="LR248" s="48"/>
      <c r="LS248" s="48"/>
      <c r="LT248" s="48"/>
      <c r="LU248" s="48"/>
      <c r="LV248" s="48"/>
      <c r="LW248" s="48"/>
      <c r="LX248" s="48"/>
      <c r="LY248" s="48"/>
      <c r="LZ248" s="48"/>
      <c r="MA248" s="48"/>
      <c r="MB248" s="48"/>
      <c r="MC248" s="48"/>
      <c r="MD248" s="48"/>
      <c r="ME248" s="48"/>
      <c r="MF248" s="48"/>
      <c r="MG248" s="48"/>
      <c r="MH248" s="48"/>
      <c r="MI248" s="48"/>
      <c r="MJ248" s="48"/>
      <c r="MK248" s="48"/>
      <c r="ML248" s="48"/>
      <c r="MM248" s="48"/>
      <c r="MN248" s="48"/>
      <c r="MO248" s="48"/>
      <c r="MP248" s="48"/>
      <c r="MQ248" s="48"/>
      <c r="MR248" s="48"/>
      <c r="MS248" s="48"/>
      <c r="MT248" s="48"/>
      <c r="MU248" s="48"/>
      <c r="MV248" s="48"/>
      <c r="MW248" s="48"/>
      <c r="MX248" s="48"/>
      <c r="MY248" s="48"/>
      <c r="MZ248" s="48"/>
      <c r="NA248" s="48"/>
      <c r="NB248" s="48"/>
      <c r="NC248" s="48"/>
      <c r="ND248" s="48"/>
      <c r="NE248" s="48"/>
      <c r="NF248" s="48"/>
      <c r="NG248" s="48"/>
      <c r="NH248" s="48"/>
      <c r="NI248" s="48"/>
      <c r="NJ248" s="48"/>
      <c r="NK248" s="48"/>
      <c r="NL248" s="48"/>
      <c r="NM248" s="48"/>
      <c r="NN248" s="48"/>
      <c r="NO248" s="48"/>
      <c r="NP248" s="48"/>
      <c r="NQ248" s="48"/>
      <c r="NR248" s="48"/>
      <c r="NS248" s="48"/>
      <c r="NT248" s="48"/>
      <c r="NU248" s="48"/>
      <c r="NV248" s="48"/>
      <c r="NW248" s="48"/>
      <c r="NX248" s="48"/>
      <c r="NY248" s="48"/>
      <c r="NZ248" s="48"/>
      <c r="OA248" s="48"/>
      <c r="OB248" s="48"/>
      <c r="OC248" s="48"/>
      <c r="OD248" s="48"/>
      <c r="OE248" s="48"/>
      <c r="OF248" s="48"/>
      <c r="OG248" s="48"/>
      <c r="OH248" s="48"/>
      <c r="OI248" s="48"/>
      <c r="OJ248" s="48"/>
      <c r="OK248" s="48"/>
      <c r="OL248" s="48"/>
      <c r="OM248" s="48"/>
      <c r="ON248" s="48"/>
      <c r="OO248" s="48"/>
      <c r="OP248" s="48"/>
      <c r="OQ248" s="48"/>
      <c r="OR248" s="48"/>
      <c r="OS248" s="48"/>
      <c r="OT248" s="48"/>
      <c r="OU248" s="48"/>
      <c r="OV248" s="48"/>
      <c r="OW248" s="48"/>
      <c r="OX248" s="48"/>
      <c r="OY248" s="48"/>
      <c r="OZ248" s="48"/>
      <c r="PA248" s="48"/>
      <c r="PB248" s="48"/>
      <c r="PC248" s="48"/>
      <c r="PD248" s="48"/>
      <c r="PE248" s="48"/>
      <c r="PF248" s="48"/>
      <c r="PG248" s="48"/>
      <c r="PH248" s="48"/>
      <c r="PI248" s="48"/>
      <c r="PJ248" s="48"/>
      <c r="PK248" s="48"/>
      <c r="PL248" s="48"/>
      <c r="PM248" s="48"/>
      <c r="PN248" s="48"/>
      <c r="PO248" s="48"/>
      <c r="PP248" s="48"/>
      <c r="PQ248" s="48"/>
      <c r="PR248" s="48"/>
      <c r="PS248" s="48"/>
      <c r="PT248" s="48"/>
      <c r="PU248" s="48"/>
      <c r="PV248" s="48"/>
      <c r="PW248" s="48"/>
      <c r="PX248" s="48"/>
      <c r="PY248" s="48"/>
      <c r="PZ248" s="48"/>
      <c r="QA248" s="48"/>
      <c r="QB248" s="48"/>
      <c r="QC248" s="48"/>
      <c r="QD248" s="48"/>
      <c r="QE248" s="48"/>
      <c r="QF248" s="48"/>
      <c r="QG248" s="48"/>
      <c r="QH248" s="48"/>
      <c r="QI248" s="48"/>
      <c r="QJ248" s="48"/>
      <c r="QK248" s="48"/>
      <c r="QL248" s="48"/>
      <c r="QM248" s="48"/>
      <c r="QN248" s="48"/>
      <c r="QO248" s="48"/>
      <c r="QP248" s="48"/>
      <c r="QQ248" s="48"/>
      <c r="QR248" s="48"/>
      <c r="QS248" s="48"/>
      <c r="QT248" s="48"/>
      <c r="QU248" s="48"/>
      <c r="QV248" s="48"/>
      <c r="QW248" s="48"/>
      <c r="QX248" s="48"/>
      <c r="QY248" s="48"/>
      <c r="QZ248" s="48"/>
      <c r="RA248" s="48"/>
      <c r="RB248" s="48"/>
      <c r="RC248" s="48"/>
      <c r="RD248" s="48"/>
      <c r="RE248" s="48"/>
      <c r="RF248" s="48"/>
      <c r="RG248" s="48"/>
      <c r="RH248" s="48"/>
      <c r="RI248" s="48"/>
      <c r="RJ248" s="48"/>
      <c r="RK248" s="48"/>
      <c r="RL248" s="48"/>
      <c r="RM248" s="48"/>
      <c r="RN248" s="48"/>
      <c r="RO248" s="48"/>
      <c r="RP248" s="48"/>
      <c r="RQ248" s="48"/>
      <c r="RR248" s="48"/>
      <c r="RS248" s="48"/>
      <c r="RT248" s="48"/>
      <c r="RU248" s="48"/>
      <c r="RV248" s="48"/>
      <c r="RW248" s="48"/>
      <c r="RX248" s="48"/>
      <c r="RY248" s="48"/>
      <c r="RZ248" s="48"/>
      <c r="SA248" s="48"/>
      <c r="SB248" s="48"/>
      <c r="SC248" s="48"/>
      <c r="SD248" s="48"/>
      <c r="SE248" s="48"/>
      <c r="SF248" s="48"/>
      <c r="SG248" s="48"/>
      <c r="SH248" s="48"/>
      <c r="SI248" s="48"/>
      <c r="SJ248" s="48"/>
      <c r="SK248" s="48"/>
      <c r="SL248" s="48"/>
      <c r="SM248" s="48"/>
      <c r="SN248" s="48"/>
      <c r="SO248" s="48"/>
      <c r="SP248" s="48"/>
      <c r="SQ248" s="48"/>
      <c r="SR248" s="48"/>
      <c r="SS248" s="48"/>
      <c r="ST248" s="48"/>
      <c r="SU248" s="48"/>
      <c r="SV248" s="48"/>
      <c r="SW248" s="48"/>
      <c r="SX248" s="48"/>
      <c r="SY248" s="48"/>
      <c r="SZ248" s="48"/>
      <c r="TA248" s="48"/>
      <c r="TB248" s="48"/>
      <c r="TC248" s="48"/>
      <c r="TD248" s="48"/>
      <c r="TE248" s="48"/>
      <c r="TF248" s="48"/>
      <c r="TG248" s="48"/>
      <c r="TH248" s="48"/>
      <c r="TI248" s="48"/>
      <c r="TJ248" s="48"/>
      <c r="TK248" s="48"/>
      <c r="TL248" s="48"/>
      <c r="TM248" s="48"/>
      <c r="TN248" s="48"/>
      <c r="TO248" s="48"/>
      <c r="TP248" s="48"/>
      <c r="TQ248" s="48"/>
      <c r="TR248" s="48"/>
      <c r="TS248" s="48"/>
      <c r="TT248" s="48"/>
      <c r="TU248" s="48"/>
      <c r="TV248" s="48"/>
      <c r="TW248" s="48"/>
      <c r="TX248" s="48"/>
      <c r="TY248" s="48"/>
      <c r="TZ248" s="48"/>
      <c r="UA248" s="48"/>
      <c r="UB248" s="48"/>
      <c r="UC248" s="48"/>
      <c r="UD248" s="48"/>
      <c r="UE248" s="48"/>
      <c r="UF248" s="48"/>
      <c r="UG248" s="48"/>
      <c r="UH248" s="48"/>
      <c r="UI248" s="48"/>
      <c r="UJ248" s="48"/>
      <c r="UK248" s="48"/>
      <c r="UL248" s="48"/>
      <c r="UM248" s="48"/>
      <c r="UN248" s="48"/>
      <c r="UO248" s="48"/>
      <c r="UP248" s="48"/>
      <c r="UQ248" s="48"/>
      <c r="UR248" s="48"/>
      <c r="US248" s="48"/>
      <c r="UT248" s="48"/>
      <c r="UU248" s="48"/>
      <c r="UV248" s="48"/>
      <c r="UW248" s="48"/>
      <c r="UX248" s="48"/>
      <c r="UY248" s="48"/>
      <c r="UZ248" s="48"/>
      <c r="VA248" s="48"/>
      <c r="VB248" s="48"/>
      <c r="VC248" s="48"/>
      <c r="VD248" s="48"/>
      <c r="VE248" s="48"/>
      <c r="VF248" s="48"/>
      <c r="VG248" s="48"/>
      <c r="VH248" s="48"/>
      <c r="VI248" s="48"/>
      <c r="VJ248" s="48"/>
      <c r="VK248" s="48"/>
      <c r="VL248" s="48"/>
      <c r="VM248" s="48"/>
      <c r="VN248" s="48"/>
      <c r="VO248" s="48"/>
      <c r="VP248" s="48"/>
      <c r="VQ248" s="48"/>
      <c r="VR248" s="48"/>
      <c r="VS248" s="48"/>
      <c r="VT248" s="48"/>
      <c r="VU248" s="48"/>
      <c r="VV248" s="48"/>
      <c r="VW248" s="48"/>
      <c r="VX248" s="48"/>
      <c r="VY248" s="48"/>
      <c r="VZ248" s="48"/>
      <c r="WA248" s="48"/>
      <c r="WB248" s="48"/>
      <c r="WC248" s="48"/>
      <c r="WD248" s="48"/>
      <c r="WE248" s="48"/>
      <c r="WF248" s="48"/>
      <c r="WG248" s="48"/>
      <c r="WH248" s="48"/>
      <c r="WI248" s="48"/>
      <c r="WJ248" s="48"/>
      <c r="WK248" s="48"/>
      <c r="WL248" s="48"/>
      <c r="WM248" s="48"/>
      <c r="WN248" s="48"/>
      <c r="WO248" s="48"/>
      <c r="WP248" s="48"/>
      <c r="WQ248" s="48"/>
      <c r="WR248" s="48"/>
      <c r="WS248" s="48"/>
      <c r="WT248" s="48"/>
      <c r="WU248" s="48"/>
      <c r="WV248" s="48"/>
      <c r="WW248" s="48"/>
      <c r="WX248" s="48"/>
      <c r="WY248" s="48"/>
      <c r="WZ248" s="48"/>
      <c r="XA248" s="48"/>
      <c r="XB248" s="48"/>
      <c r="XC248" s="48"/>
      <c r="XD248" s="48"/>
      <c r="XE248" s="48"/>
      <c r="XF248" s="48"/>
      <c r="XG248" s="48"/>
      <c r="XH248" s="48"/>
      <c r="XI248" s="48"/>
      <c r="XJ248" s="48"/>
      <c r="XK248" s="48"/>
      <c r="XL248" s="48"/>
      <c r="XM248" s="48"/>
      <c r="XN248" s="48"/>
      <c r="XO248" s="48"/>
      <c r="XP248" s="48"/>
      <c r="XQ248" s="48"/>
      <c r="XR248" s="48"/>
      <c r="XS248" s="48"/>
      <c r="XT248" s="48"/>
      <c r="XU248" s="48"/>
      <c r="XV248" s="48"/>
      <c r="XW248" s="48"/>
      <c r="XX248" s="48"/>
      <c r="XY248" s="48"/>
      <c r="XZ248" s="48"/>
      <c r="YA248" s="48"/>
      <c r="YB248" s="48"/>
      <c r="YC248" s="48"/>
      <c r="YD248" s="48"/>
      <c r="YE248" s="48"/>
      <c r="YF248" s="48"/>
      <c r="YG248" s="48"/>
      <c r="YH248" s="48"/>
      <c r="YI248" s="48"/>
      <c r="YJ248" s="48"/>
      <c r="YK248" s="48"/>
      <c r="YL248" s="48"/>
      <c r="YM248" s="48"/>
      <c r="YN248" s="48"/>
      <c r="YO248" s="48"/>
      <c r="YP248" s="48"/>
      <c r="YQ248" s="48"/>
      <c r="YR248" s="48"/>
      <c r="YS248" s="48"/>
      <c r="YT248" s="48"/>
      <c r="YU248" s="48"/>
      <c r="YV248" s="48"/>
      <c r="YW248" s="48"/>
      <c r="YX248" s="48"/>
      <c r="YY248" s="48"/>
      <c r="YZ248" s="48"/>
      <c r="ZA248" s="48"/>
      <c r="ZB248" s="48"/>
      <c r="ZC248" s="48"/>
      <c r="ZD248" s="48"/>
      <c r="ZE248" s="48"/>
      <c r="ZF248" s="48"/>
      <c r="ZG248" s="48"/>
      <c r="ZH248" s="48"/>
      <c r="ZI248" s="48"/>
      <c r="ZJ248" s="48"/>
      <c r="ZK248" s="48"/>
      <c r="ZL248" s="48"/>
      <c r="ZM248" s="48"/>
      <c r="ZN248" s="48"/>
      <c r="ZO248" s="48"/>
      <c r="ZP248" s="48"/>
      <c r="ZQ248" s="48"/>
      <c r="ZR248" s="48"/>
      <c r="ZS248" s="48"/>
      <c r="ZT248" s="48"/>
      <c r="ZU248" s="48"/>
      <c r="ZV248" s="48"/>
      <c r="ZW248" s="48"/>
      <c r="ZX248" s="48"/>
      <c r="ZY248" s="48"/>
      <c r="ZZ248" s="48"/>
      <c r="AAA248" s="48"/>
      <c r="AAB248" s="48"/>
      <c r="AAC248" s="48"/>
      <c r="AAD248" s="48"/>
      <c r="AAE248" s="48"/>
      <c r="AAF248" s="48"/>
      <c r="AAG248" s="48"/>
      <c r="AAH248" s="48"/>
      <c r="AAI248" s="48"/>
      <c r="AAJ248" s="48"/>
      <c r="AAK248" s="48"/>
      <c r="AAL248" s="48"/>
      <c r="AAM248" s="48"/>
      <c r="AAN248" s="48"/>
      <c r="AAO248" s="48"/>
      <c r="AAP248" s="48"/>
      <c r="AAQ248" s="48"/>
      <c r="AAR248" s="48"/>
      <c r="AAS248" s="48"/>
      <c r="AAT248" s="48"/>
      <c r="AAU248" s="48"/>
      <c r="AAV248" s="48"/>
      <c r="AAW248" s="48"/>
      <c r="AAX248" s="48"/>
      <c r="AAY248" s="48"/>
      <c r="AAZ248" s="48"/>
      <c r="ABA248" s="48"/>
      <c r="ABB248" s="48"/>
      <c r="ABC248" s="48"/>
      <c r="ABD248" s="48"/>
      <c r="ABE248" s="48"/>
      <c r="ABF248" s="48"/>
      <c r="ABG248" s="48"/>
      <c r="ABH248" s="48"/>
      <c r="ABI248" s="48"/>
      <c r="ABJ248" s="48"/>
      <c r="ABK248" s="48"/>
      <c r="ABL248" s="48"/>
      <c r="ABM248" s="48"/>
      <c r="ABN248" s="48"/>
      <c r="ABO248" s="48"/>
      <c r="ABP248" s="48"/>
      <c r="ABQ248" s="48"/>
      <c r="ABR248" s="48"/>
      <c r="ABS248" s="48"/>
      <c r="ABT248" s="48"/>
      <c r="ABU248" s="48"/>
      <c r="ABV248" s="48"/>
      <c r="ABW248" s="48"/>
      <c r="ABX248" s="48"/>
      <c r="ABY248" s="48"/>
      <c r="ABZ248" s="48"/>
      <c r="ACA248" s="48"/>
      <c r="ACB248" s="48"/>
      <c r="ACC248" s="48"/>
      <c r="ACD248" s="48"/>
      <c r="ACE248" s="48"/>
      <c r="ACF248" s="48"/>
      <c r="ACG248" s="48"/>
      <c r="ACH248" s="48"/>
      <c r="ACI248" s="48"/>
      <c r="ACJ248" s="48"/>
      <c r="ACK248" s="48"/>
      <c r="ACL248" s="48"/>
      <c r="ACM248" s="48"/>
      <c r="ACN248" s="48"/>
      <c r="ACO248" s="48"/>
      <c r="ACP248" s="48"/>
      <c r="ACQ248" s="48"/>
      <c r="ACR248" s="48"/>
      <c r="ACS248" s="48"/>
      <c r="ACT248" s="48"/>
      <c r="ACU248" s="48"/>
      <c r="ACV248" s="48"/>
      <c r="ACW248" s="48"/>
      <c r="ACX248" s="48"/>
      <c r="ACY248" s="48"/>
      <c r="ACZ248" s="48"/>
      <c r="ADA248" s="48"/>
      <c r="ADB248" s="48"/>
      <c r="ADC248" s="48"/>
      <c r="ADD248" s="48"/>
      <c r="ADE248" s="48"/>
      <c r="ADF248" s="48"/>
      <c r="ADG248" s="48"/>
      <c r="ADH248" s="48"/>
      <c r="ADI248" s="48"/>
      <c r="ADJ248" s="48"/>
      <c r="ADK248" s="48"/>
      <c r="ADL248" s="48"/>
      <c r="ADM248" s="48"/>
      <c r="ADN248" s="48"/>
      <c r="ADO248" s="48"/>
      <c r="ADP248" s="48"/>
      <c r="ADQ248" s="48"/>
      <c r="ADR248" s="48"/>
      <c r="ADS248" s="48"/>
      <c r="ADT248" s="48"/>
      <c r="ADU248" s="48"/>
      <c r="ADV248" s="48"/>
      <c r="ADW248" s="48"/>
      <c r="ADX248" s="48"/>
      <c r="ADY248" s="48"/>
      <c r="ADZ248" s="48"/>
      <c r="AEA248" s="48"/>
      <c r="AEB248" s="48"/>
      <c r="AEC248" s="48"/>
      <c r="AED248" s="48"/>
      <c r="AEE248" s="48"/>
      <c r="AEF248" s="48"/>
      <c r="AEG248" s="48"/>
      <c r="AEH248" s="48"/>
      <c r="AEI248" s="48"/>
      <c r="AEJ248" s="48"/>
      <c r="AEK248" s="48"/>
      <c r="AEL248" s="48"/>
      <c r="AEM248" s="48"/>
      <c r="AEN248" s="48"/>
      <c r="AEO248" s="48"/>
      <c r="AEP248" s="48"/>
      <c r="AEQ248" s="48"/>
      <c r="AER248" s="48"/>
      <c r="AES248" s="48"/>
      <c r="AET248" s="48"/>
      <c r="AEU248" s="48"/>
      <c r="AEV248" s="48"/>
      <c r="AEW248" s="48"/>
      <c r="AEX248" s="48"/>
      <c r="AEY248" s="48"/>
      <c r="AEZ248" s="48"/>
      <c r="AFA248" s="48"/>
      <c r="AFB248" s="48"/>
      <c r="AFC248" s="48"/>
      <c r="AFD248" s="48"/>
      <c r="AFE248" s="48"/>
      <c r="AFF248" s="48"/>
      <c r="AFG248" s="48"/>
      <c r="AFH248" s="48"/>
      <c r="AFI248" s="48"/>
      <c r="AFJ248" s="48"/>
      <c r="AFK248" s="48"/>
      <c r="AFL248" s="48"/>
      <c r="AFM248" s="48"/>
      <c r="AFN248" s="48"/>
      <c r="AFO248" s="48"/>
      <c r="AFP248" s="48"/>
      <c r="AFQ248" s="48"/>
      <c r="AFR248" s="48"/>
      <c r="AFS248" s="48"/>
      <c r="AFT248" s="48"/>
      <c r="AFU248" s="48"/>
      <c r="AFV248" s="48"/>
      <c r="AFW248" s="48"/>
      <c r="AFX248" s="48"/>
      <c r="AFY248" s="48"/>
      <c r="AFZ248" s="48"/>
      <c r="AGA248" s="48"/>
      <c r="AGB248" s="48"/>
      <c r="AGC248" s="48"/>
      <c r="AGD248" s="48"/>
      <c r="AGE248" s="48"/>
      <c r="AGF248" s="48"/>
      <c r="AGG248" s="48"/>
      <c r="AGH248" s="48"/>
      <c r="AGI248" s="48"/>
      <c r="AGJ248" s="48"/>
      <c r="AGK248" s="48"/>
      <c r="AGL248" s="48"/>
      <c r="AGM248" s="48"/>
      <c r="AGN248" s="48"/>
      <c r="AGO248" s="48"/>
      <c r="AGP248" s="48"/>
      <c r="AGQ248" s="48"/>
      <c r="AGR248" s="48"/>
      <c r="AGS248" s="48"/>
      <c r="AGT248" s="48"/>
      <c r="AGU248" s="48"/>
      <c r="AGV248" s="48"/>
      <c r="AGW248" s="48"/>
      <c r="AGX248" s="48"/>
      <c r="AGY248" s="48"/>
      <c r="AGZ248" s="48"/>
      <c r="AHA248" s="48"/>
      <c r="AHB248" s="48"/>
      <c r="AHC248" s="48"/>
      <c r="AHD248" s="48"/>
      <c r="AHE248" s="48"/>
      <c r="AHF248" s="48"/>
      <c r="AHG248" s="48"/>
      <c r="AHH248" s="48"/>
      <c r="AHI248" s="48"/>
      <c r="AHJ248" s="48"/>
      <c r="AHK248" s="48"/>
      <c r="AHL248" s="48"/>
      <c r="AHM248" s="48"/>
      <c r="AHN248" s="48"/>
      <c r="AHO248" s="48"/>
      <c r="AHP248" s="48"/>
      <c r="AHQ248" s="48"/>
      <c r="AHR248" s="48"/>
      <c r="AHS248" s="48"/>
      <c r="AHT248" s="48"/>
      <c r="AHU248" s="48"/>
      <c r="AHV248" s="48"/>
      <c r="AHW248" s="48"/>
      <c r="AHX248" s="48"/>
      <c r="AHY248" s="48"/>
      <c r="AHZ248" s="48"/>
      <c r="AIA248" s="48"/>
      <c r="AIB248" s="48"/>
      <c r="AIC248" s="48"/>
      <c r="AID248" s="48"/>
      <c r="AIE248" s="48"/>
      <c r="AIF248" s="48"/>
      <c r="AIG248" s="48"/>
      <c r="AIH248" s="48"/>
      <c r="AII248" s="48"/>
      <c r="AIJ248" s="48"/>
      <c r="AIK248" s="48"/>
      <c r="AIL248" s="48"/>
      <c r="AIM248" s="48"/>
      <c r="AIN248" s="48"/>
      <c r="AIO248" s="48"/>
      <c r="AIP248" s="48"/>
      <c r="AIQ248" s="48"/>
      <c r="AIR248" s="48"/>
      <c r="AIS248" s="48"/>
      <c r="AIT248" s="48"/>
      <c r="AIU248" s="48"/>
      <c r="AIV248" s="48"/>
      <c r="AIW248" s="48"/>
      <c r="AIX248" s="48"/>
      <c r="AIY248" s="48"/>
      <c r="AIZ248" s="48"/>
      <c r="AJA248" s="48"/>
      <c r="AJB248" s="48"/>
      <c r="AJC248" s="48"/>
      <c r="AJD248" s="48"/>
      <c r="AJE248" s="48"/>
      <c r="AJF248" s="48"/>
      <c r="AJG248" s="48"/>
      <c r="AJH248" s="48"/>
      <c r="AJI248" s="48"/>
      <c r="AJJ248" s="48"/>
      <c r="AJK248" s="48"/>
      <c r="AJL248" s="48"/>
      <c r="AJM248" s="48"/>
      <c r="AJN248" s="48"/>
      <c r="AJO248" s="48"/>
      <c r="AJP248" s="48"/>
      <c r="AJQ248" s="48"/>
      <c r="AJR248" s="48"/>
      <c r="AJS248" s="48"/>
      <c r="AJT248" s="48"/>
      <c r="AJU248" s="48"/>
      <c r="AJV248" s="48"/>
      <c r="AJW248" s="48"/>
      <c r="AJX248" s="48"/>
      <c r="AJY248" s="48"/>
      <c r="AJZ248" s="48"/>
      <c r="AKA248" s="48"/>
      <c r="AKB248" s="48"/>
      <c r="AKC248" s="48"/>
      <c r="AKD248" s="48"/>
      <c r="AKE248" s="48"/>
      <c r="AKF248" s="48"/>
      <c r="AKG248" s="48"/>
      <c r="AKH248" s="48"/>
      <c r="AKI248" s="48"/>
      <c r="AKJ248" s="48"/>
      <c r="AKK248" s="48"/>
      <c r="AKL248" s="48"/>
      <c r="AKM248" s="48"/>
      <c r="AKN248" s="48"/>
      <c r="AKO248" s="48"/>
      <c r="AKP248" s="48"/>
      <c r="AKQ248" s="48"/>
      <c r="AKR248" s="48"/>
      <c r="AKS248" s="48"/>
      <c r="AKT248" s="48"/>
      <c r="AKU248" s="48"/>
      <c r="AKV248" s="48"/>
      <c r="AKW248" s="48"/>
      <c r="AKX248" s="48"/>
      <c r="AKY248" s="48"/>
      <c r="AKZ248" s="48"/>
      <c r="ALA248" s="48"/>
      <c r="ALB248" s="48"/>
      <c r="ALC248" s="48"/>
      <c r="ALD248" s="48"/>
      <c r="ALE248" s="48"/>
      <c r="ALF248" s="48"/>
      <c r="ALG248" s="48"/>
      <c r="ALH248" s="48"/>
      <c r="ALI248" s="48"/>
      <c r="ALJ248" s="48"/>
      <c r="ALK248" s="48"/>
      <c r="ALL248" s="48"/>
      <c r="ALM248" s="48"/>
      <c r="ALN248" s="48"/>
      <c r="ALO248" s="48"/>
      <c r="ALP248" s="48"/>
      <c r="ALQ248" s="48"/>
      <c r="ALR248" s="48"/>
      <c r="ALS248" s="48"/>
      <c r="ALT248" s="48"/>
      <c r="ALU248" s="48"/>
      <c r="ALV248" s="48"/>
      <c r="ALW248" s="48"/>
      <c r="ALX248" s="48"/>
      <c r="ALY248" s="48"/>
      <c r="ALZ248" s="48"/>
      <c r="AMA248" s="48"/>
      <c r="AMB248" s="48"/>
      <c r="AMC248" s="48"/>
      <c r="AMD248" s="48"/>
      <c r="AME248" s="48"/>
      <c r="AMF248" s="48"/>
      <c r="AMG248" s="48"/>
      <c r="AMH248" s="48"/>
      <c r="AMI248" s="48"/>
      <c r="AMJ248" s="48"/>
      <c r="AMK248" s="48"/>
    </row>
    <row r="249" spans="1:1025" s="80" customFormat="1" x14ac:dyDescent="0.25">
      <c r="A249" s="140" t="s">
        <v>682</v>
      </c>
      <c r="B249" s="54" t="s">
        <v>203</v>
      </c>
      <c r="C249" s="55">
        <v>10.7</v>
      </c>
      <c r="D249" s="55">
        <v>9.3000000000000007</v>
      </c>
      <c r="E249" s="55">
        <v>23.4</v>
      </c>
      <c r="F249" s="55">
        <v>222</v>
      </c>
      <c r="G249" s="55">
        <v>17.260000000000002</v>
      </c>
      <c r="H249" s="55">
        <v>15.84</v>
      </c>
      <c r="I249" s="55">
        <v>0.99</v>
      </c>
      <c r="J249" s="55">
        <v>10.98</v>
      </c>
      <c r="K249" s="120" t="s">
        <v>213</v>
      </c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  <c r="BN249" s="48"/>
      <c r="BO249" s="48"/>
      <c r="BP249" s="48"/>
      <c r="BQ249" s="48"/>
      <c r="BR249" s="48"/>
      <c r="BS249" s="48"/>
      <c r="BT249" s="48"/>
      <c r="BU249" s="48"/>
      <c r="BV249" s="48"/>
      <c r="BW249" s="48"/>
      <c r="BX249" s="48"/>
      <c r="BY249" s="48"/>
      <c r="BZ249" s="48"/>
      <c r="CA249" s="48"/>
      <c r="CB249" s="48"/>
      <c r="CC249" s="48"/>
      <c r="CD249" s="48"/>
      <c r="CE249" s="48"/>
      <c r="CF249" s="48"/>
      <c r="CG249" s="48"/>
      <c r="CH249" s="48"/>
      <c r="CI249" s="48"/>
      <c r="CJ249" s="48"/>
      <c r="CK249" s="48"/>
      <c r="CL249" s="48"/>
      <c r="CM249" s="48"/>
      <c r="CN249" s="48"/>
      <c r="CO249" s="48"/>
      <c r="CP249" s="48"/>
      <c r="CQ249" s="48"/>
      <c r="CR249" s="48"/>
      <c r="CS249" s="48"/>
      <c r="CT249" s="48"/>
      <c r="CU249" s="48"/>
      <c r="CV249" s="48"/>
      <c r="CW249" s="48"/>
      <c r="CX249" s="48"/>
      <c r="CY249" s="48"/>
      <c r="CZ249" s="48"/>
      <c r="DA249" s="48"/>
      <c r="DB249" s="48"/>
      <c r="DC249" s="48"/>
      <c r="DD249" s="48"/>
      <c r="DE249" s="48"/>
      <c r="DF249" s="48"/>
      <c r="DG249" s="48"/>
      <c r="DH249" s="48"/>
      <c r="DI249" s="48"/>
      <c r="DJ249" s="48"/>
      <c r="DK249" s="48"/>
      <c r="DL249" s="48"/>
      <c r="DM249" s="48"/>
      <c r="DN249" s="48"/>
      <c r="DO249" s="48"/>
      <c r="DP249" s="48"/>
      <c r="DQ249" s="48"/>
      <c r="DR249" s="48"/>
      <c r="DS249" s="48"/>
      <c r="DT249" s="48"/>
      <c r="DU249" s="48"/>
      <c r="DV249" s="48"/>
      <c r="DW249" s="48"/>
      <c r="DX249" s="48"/>
      <c r="DY249" s="48"/>
      <c r="DZ249" s="48"/>
      <c r="EA249" s="48"/>
      <c r="EB249" s="48"/>
      <c r="EC249" s="48"/>
      <c r="ED249" s="48"/>
      <c r="EE249" s="48"/>
      <c r="EF249" s="48"/>
      <c r="EG249" s="48"/>
      <c r="EH249" s="48"/>
      <c r="EI249" s="48"/>
      <c r="EJ249" s="48"/>
      <c r="EK249" s="48"/>
      <c r="EL249" s="48"/>
      <c r="EM249" s="48"/>
      <c r="EN249" s="48"/>
      <c r="EO249" s="48"/>
      <c r="EP249" s="48"/>
      <c r="EQ249" s="48"/>
      <c r="ER249" s="48"/>
      <c r="ES249" s="48"/>
      <c r="ET249" s="48"/>
      <c r="EU249" s="48"/>
      <c r="EV249" s="48"/>
      <c r="EW249" s="48"/>
      <c r="EX249" s="48"/>
      <c r="EY249" s="48"/>
      <c r="EZ249" s="48"/>
      <c r="FA249" s="48"/>
      <c r="FB249" s="48"/>
      <c r="FC249" s="48"/>
      <c r="FD249" s="48"/>
      <c r="FE249" s="48"/>
      <c r="FF249" s="48"/>
      <c r="FG249" s="48"/>
      <c r="FH249" s="48"/>
      <c r="FI249" s="48"/>
      <c r="FJ249" s="48"/>
      <c r="FK249" s="48"/>
      <c r="FL249" s="48"/>
      <c r="FM249" s="48"/>
      <c r="FN249" s="48"/>
      <c r="FO249" s="48"/>
      <c r="FP249" s="48"/>
      <c r="FQ249" s="48"/>
      <c r="FR249" s="48"/>
      <c r="FS249" s="48"/>
      <c r="FT249" s="48"/>
      <c r="FU249" s="48"/>
      <c r="FV249" s="48"/>
      <c r="FW249" s="48"/>
      <c r="FX249" s="48"/>
      <c r="FY249" s="48"/>
      <c r="FZ249" s="48"/>
      <c r="GA249" s="48"/>
      <c r="GB249" s="48"/>
      <c r="GC249" s="48"/>
      <c r="GD249" s="48"/>
      <c r="GE249" s="48"/>
      <c r="GF249" s="48"/>
      <c r="GG249" s="48"/>
      <c r="GH249" s="48"/>
      <c r="GI249" s="48"/>
      <c r="GJ249" s="48"/>
      <c r="GK249" s="48"/>
      <c r="GL249" s="48"/>
      <c r="GM249" s="48"/>
      <c r="GN249" s="48"/>
      <c r="GO249" s="48"/>
      <c r="GP249" s="48"/>
      <c r="GQ249" s="48"/>
      <c r="GR249" s="48"/>
      <c r="GS249" s="48"/>
      <c r="GT249" s="48"/>
      <c r="GU249" s="48"/>
      <c r="GV249" s="48"/>
      <c r="GW249" s="48"/>
      <c r="GX249" s="48"/>
      <c r="GY249" s="48"/>
      <c r="GZ249" s="48"/>
      <c r="HA249" s="48"/>
      <c r="HB249" s="48"/>
      <c r="HC249" s="48"/>
      <c r="HD249" s="48"/>
      <c r="HE249" s="48"/>
      <c r="HF249" s="48"/>
      <c r="HG249" s="48"/>
      <c r="HH249" s="48"/>
      <c r="HI249" s="48"/>
      <c r="HJ249" s="48"/>
      <c r="HK249" s="48"/>
      <c r="HL249" s="48"/>
      <c r="HM249" s="48"/>
      <c r="HN249" s="48"/>
      <c r="HO249" s="48"/>
      <c r="HP249" s="48"/>
      <c r="HQ249" s="48"/>
      <c r="HR249" s="48"/>
      <c r="HS249" s="48"/>
      <c r="HT249" s="48"/>
      <c r="HU249" s="48"/>
      <c r="HV249" s="48"/>
      <c r="HW249" s="48"/>
      <c r="HX249" s="48"/>
      <c r="HY249" s="48"/>
      <c r="HZ249" s="48"/>
      <c r="IA249" s="48"/>
      <c r="IB249" s="48"/>
      <c r="IC249" s="48"/>
      <c r="ID249" s="48"/>
      <c r="IE249" s="48"/>
      <c r="IF249" s="48"/>
      <c r="IG249" s="48"/>
      <c r="IH249" s="48"/>
      <c r="II249" s="48"/>
      <c r="IJ249" s="48"/>
      <c r="IK249" s="48"/>
      <c r="IL249" s="48"/>
      <c r="IM249" s="48"/>
      <c r="IN249" s="48"/>
      <c r="IO249" s="48"/>
      <c r="IP249" s="48"/>
      <c r="IQ249" s="48"/>
      <c r="IR249" s="48"/>
      <c r="IS249" s="48"/>
      <c r="IT249" s="48"/>
      <c r="IU249" s="48"/>
      <c r="IV249" s="48"/>
      <c r="IW249" s="48"/>
      <c r="IX249" s="48"/>
      <c r="IY249" s="48"/>
      <c r="IZ249" s="48"/>
      <c r="JA249" s="48"/>
      <c r="JB249" s="48"/>
      <c r="JC249" s="48"/>
      <c r="JD249" s="48"/>
      <c r="JE249" s="48"/>
      <c r="JF249" s="48"/>
      <c r="JG249" s="48"/>
      <c r="JH249" s="48"/>
      <c r="JI249" s="48"/>
      <c r="JJ249" s="48"/>
      <c r="JK249" s="48"/>
      <c r="JL249" s="48"/>
      <c r="JM249" s="48"/>
      <c r="JN249" s="48"/>
      <c r="JO249" s="48"/>
      <c r="JP249" s="48"/>
      <c r="JQ249" s="48"/>
      <c r="JR249" s="48"/>
      <c r="JS249" s="48"/>
      <c r="JT249" s="48"/>
      <c r="JU249" s="48"/>
      <c r="JV249" s="48"/>
      <c r="JW249" s="48"/>
      <c r="JX249" s="48"/>
      <c r="JY249" s="48"/>
      <c r="JZ249" s="48"/>
      <c r="KA249" s="48"/>
      <c r="KB249" s="48"/>
      <c r="KC249" s="48"/>
      <c r="KD249" s="48"/>
      <c r="KE249" s="48"/>
      <c r="KF249" s="48"/>
      <c r="KG249" s="48"/>
      <c r="KH249" s="48"/>
      <c r="KI249" s="48"/>
      <c r="KJ249" s="48"/>
      <c r="KK249" s="48"/>
      <c r="KL249" s="48"/>
      <c r="KM249" s="48"/>
      <c r="KN249" s="48"/>
      <c r="KO249" s="48"/>
      <c r="KP249" s="48"/>
      <c r="KQ249" s="48"/>
      <c r="KR249" s="48"/>
      <c r="KS249" s="48"/>
      <c r="KT249" s="48"/>
      <c r="KU249" s="48"/>
      <c r="KV249" s="48"/>
      <c r="KW249" s="48"/>
      <c r="KX249" s="48"/>
      <c r="KY249" s="48"/>
      <c r="KZ249" s="48"/>
      <c r="LA249" s="48"/>
      <c r="LB249" s="48"/>
      <c r="LC249" s="48"/>
      <c r="LD249" s="48"/>
      <c r="LE249" s="48"/>
      <c r="LF249" s="48"/>
      <c r="LG249" s="48"/>
      <c r="LH249" s="48"/>
      <c r="LI249" s="48"/>
      <c r="LJ249" s="48"/>
      <c r="LK249" s="48"/>
      <c r="LL249" s="48"/>
      <c r="LM249" s="48"/>
      <c r="LN249" s="48"/>
      <c r="LO249" s="48"/>
      <c r="LP249" s="48"/>
      <c r="LQ249" s="48"/>
      <c r="LR249" s="48"/>
      <c r="LS249" s="48"/>
      <c r="LT249" s="48"/>
      <c r="LU249" s="48"/>
      <c r="LV249" s="48"/>
      <c r="LW249" s="48"/>
      <c r="LX249" s="48"/>
      <c r="LY249" s="48"/>
      <c r="LZ249" s="48"/>
      <c r="MA249" s="48"/>
      <c r="MB249" s="48"/>
      <c r="MC249" s="48"/>
      <c r="MD249" s="48"/>
      <c r="ME249" s="48"/>
      <c r="MF249" s="48"/>
      <c r="MG249" s="48"/>
      <c r="MH249" s="48"/>
      <c r="MI249" s="48"/>
      <c r="MJ249" s="48"/>
      <c r="MK249" s="48"/>
      <c r="ML249" s="48"/>
      <c r="MM249" s="48"/>
      <c r="MN249" s="48"/>
      <c r="MO249" s="48"/>
      <c r="MP249" s="48"/>
      <c r="MQ249" s="48"/>
      <c r="MR249" s="48"/>
      <c r="MS249" s="48"/>
      <c r="MT249" s="48"/>
      <c r="MU249" s="48"/>
      <c r="MV249" s="48"/>
      <c r="MW249" s="48"/>
      <c r="MX249" s="48"/>
      <c r="MY249" s="48"/>
      <c r="MZ249" s="48"/>
      <c r="NA249" s="48"/>
      <c r="NB249" s="48"/>
      <c r="NC249" s="48"/>
      <c r="ND249" s="48"/>
      <c r="NE249" s="48"/>
      <c r="NF249" s="48"/>
      <c r="NG249" s="48"/>
      <c r="NH249" s="48"/>
      <c r="NI249" s="48"/>
      <c r="NJ249" s="48"/>
      <c r="NK249" s="48"/>
      <c r="NL249" s="48"/>
      <c r="NM249" s="48"/>
      <c r="NN249" s="48"/>
      <c r="NO249" s="48"/>
      <c r="NP249" s="48"/>
      <c r="NQ249" s="48"/>
      <c r="NR249" s="48"/>
      <c r="NS249" s="48"/>
      <c r="NT249" s="48"/>
      <c r="NU249" s="48"/>
      <c r="NV249" s="48"/>
      <c r="NW249" s="48"/>
      <c r="NX249" s="48"/>
      <c r="NY249" s="48"/>
      <c r="NZ249" s="48"/>
      <c r="OA249" s="48"/>
      <c r="OB249" s="48"/>
      <c r="OC249" s="48"/>
      <c r="OD249" s="48"/>
      <c r="OE249" s="48"/>
      <c r="OF249" s="48"/>
      <c r="OG249" s="48"/>
      <c r="OH249" s="48"/>
      <c r="OI249" s="48"/>
      <c r="OJ249" s="48"/>
      <c r="OK249" s="48"/>
      <c r="OL249" s="48"/>
      <c r="OM249" s="48"/>
      <c r="ON249" s="48"/>
      <c r="OO249" s="48"/>
      <c r="OP249" s="48"/>
      <c r="OQ249" s="48"/>
      <c r="OR249" s="48"/>
      <c r="OS249" s="48"/>
      <c r="OT249" s="48"/>
      <c r="OU249" s="48"/>
      <c r="OV249" s="48"/>
      <c r="OW249" s="48"/>
      <c r="OX249" s="48"/>
      <c r="OY249" s="48"/>
      <c r="OZ249" s="48"/>
      <c r="PA249" s="48"/>
      <c r="PB249" s="48"/>
      <c r="PC249" s="48"/>
      <c r="PD249" s="48"/>
      <c r="PE249" s="48"/>
      <c r="PF249" s="48"/>
      <c r="PG249" s="48"/>
      <c r="PH249" s="48"/>
      <c r="PI249" s="48"/>
      <c r="PJ249" s="48"/>
      <c r="PK249" s="48"/>
      <c r="PL249" s="48"/>
      <c r="PM249" s="48"/>
      <c r="PN249" s="48"/>
      <c r="PO249" s="48"/>
      <c r="PP249" s="48"/>
      <c r="PQ249" s="48"/>
      <c r="PR249" s="48"/>
      <c r="PS249" s="48"/>
      <c r="PT249" s="48"/>
      <c r="PU249" s="48"/>
      <c r="PV249" s="48"/>
      <c r="PW249" s="48"/>
      <c r="PX249" s="48"/>
      <c r="PY249" s="48"/>
      <c r="PZ249" s="48"/>
      <c r="QA249" s="48"/>
      <c r="QB249" s="48"/>
      <c r="QC249" s="48"/>
      <c r="QD249" s="48"/>
      <c r="QE249" s="48"/>
      <c r="QF249" s="48"/>
      <c r="QG249" s="48"/>
      <c r="QH249" s="48"/>
      <c r="QI249" s="48"/>
      <c r="QJ249" s="48"/>
      <c r="QK249" s="48"/>
      <c r="QL249" s="48"/>
      <c r="QM249" s="48"/>
      <c r="QN249" s="48"/>
      <c r="QO249" s="48"/>
      <c r="QP249" s="48"/>
      <c r="QQ249" s="48"/>
      <c r="QR249" s="48"/>
      <c r="QS249" s="48"/>
      <c r="QT249" s="48"/>
      <c r="QU249" s="48"/>
      <c r="QV249" s="48"/>
      <c r="QW249" s="48"/>
      <c r="QX249" s="48"/>
      <c r="QY249" s="48"/>
      <c r="QZ249" s="48"/>
      <c r="RA249" s="48"/>
      <c r="RB249" s="48"/>
      <c r="RC249" s="48"/>
      <c r="RD249" s="48"/>
      <c r="RE249" s="48"/>
      <c r="RF249" s="48"/>
      <c r="RG249" s="48"/>
      <c r="RH249" s="48"/>
      <c r="RI249" s="48"/>
      <c r="RJ249" s="48"/>
      <c r="RK249" s="48"/>
      <c r="RL249" s="48"/>
      <c r="RM249" s="48"/>
      <c r="RN249" s="48"/>
      <c r="RO249" s="48"/>
      <c r="RP249" s="48"/>
      <c r="RQ249" s="48"/>
      <c r="RR249" s="48"/>
      <c r="RS249" s="48"/>
      <c r="RT249" s="48"/>
      <c r="RU249" s="48"/>
      <c r="RV249" s="48"/>
      <c r="RW249" s="48"/>
      <c r="RX249" s="48"/>
      <c r="RY249" s="48"/>
      <c r="RZ249" s="48"/>
      <c r="SA249" s="48"/>
      <c r="SB249" s="48"/>
      <c r="SC249" s="48"/>
      <c r="SD249" s="48"/>
      <c r="SE249" s="48"/>
      <c r="SF249" s="48"/>
      <c r="SG249" s="48"/>
      <c r="SH249" s="48"/>
      <c r="SI249" s="48"/>
      <c r="SJ249" s="48"/>
      <c r="SK249" s="48"/>
      <c r="SL249" s="48"/>
      <c r="SM249" s="48"/>
      <c r="SN249" s="48"/>
      <c r="SO249" s="48"/>
      <c r="SP249" s="48"/>
      <c r="SQ249" s="48"/>
      <c r="SR249" s="48"/>
      <c r="SS249" s="48"/>
      <c r="ST249" s="48"/>
      <c r="SU249" s="48"/>
      <c r="SV249" s="48"/>
      <c r="SW249" s="48"/>
      <c r="SX249" s="48"/>
      <c r="SY249" s="48"/>
      <c r="SZ249" s="48"/>
      <c r="TA249" s="48"/>
      <c r="TB249" s="48"/>
      <c r="TC249" s="48"/>
      <c r="TD249" s="48"/>
      <c r="TE249" s="48"/>
      <c r="TF249" s="48"/>
      <c r="TG249" s="48"/>
      <c r="TH249" s="48"/>
      <c r="TI249" s="48"/>
      <c r="TJ249" s="48"/>
      <c r="TK249" s="48"/>
      <c r="TL249" s="48"/>
      <c r="TM249" s="48"/>
      <c r="TN249" s="48"/>
      <c r="TO249" s="48"/>
      <c r="TP249" s="48"/>
      <c r="TQ249" s="48"/>
      <c r="TR249" s="48"/>
      <c r="TS249" s="48"/>
      <c r="TT249" s="48"/>
      <c r="TU249" s="48"/>
      <c r="TV249" s="48"/>
      <c r="TW249" s="48"/>
      <c r="TX249" s="48"/>
      <c r="TY249" s="48"/>
      <c r="TZ249" s="48"/>
      <c r="UA249" s="48"/>
      <c r="UB249" s="48"/>
      <c r="UC249" s="48"/>
      <c r="UD249" s="48"/>
      <c r="UE249" s="48"/>
      <c r="UF249" s="48"/>
      <c r="UG249" s="48"/>
      <c r="UH249" s="48"/>
      <c r="UI249" s="48"/>
      <c r="UJ249" s="48"/>
      <c r="UK249" s="48"/>
      <c r="UL249" s="48"/>
      <c r="UM249" s="48"/>
      <c r="UN249" s="48"/>
      <c r="UO249" s="48"/>
      <c r="UP249" s="48"/>
      <c r="UQ249" s="48"/>
      <c r="UR249" s="48"/>
      <c r="US249" s="48"/>
      <c r="UT249" s="48"/>
      <c r="UU249" s="48"/>
      <c r="UV249" s="48"/>
      <c r="UW249" s="48"/>
      <c r="UX249" s="48"/>
      <c r="UY249" s="48"/>
      <c r="UZ249" s="48"/>
      <c r="VA249" s="48"/>
      <c r="VB249" s="48"/>
      <c r="VC249" s="48"/>
      <c r="VD249" s="48"/>
      <c r="VE249" s="48"/>
      <c r="VF249" s="48"/>
      <c r="VG249" s="48"/>
      <c r="VH249" s="48"/>
      <c r="VI249" s="48"/>
      <c r="VJ249" s="48"/>
      <c r="VK249" s="48"/>
      <c r="VL249" s="48"/>
      <c r="VM249" s="48"/>
      <c r="VN249" s="48"/>
      <c r="VO249" s="48"/>
      <c r="VP249" s="48"/>
      <c r="VQ249" s="48"/>
      <c r="VR249" s="48"/>
      <c r="VS249" s="48"/>
      <c r="VT249" s="48"/>
      <c r="VU249" s="48"/>
      <c r="VV249" s="48"/>
      <c r="VW249" s="48"/>
      <c r="VX249" s="48"/>
      <c r="VY249" s="48"/>
      <c r="VZ249" s="48"/>
      <c r="WA249" s="48"/>
      <c r="WB249" s="48"/>
      <c r="WC249" s="48"/>
      <c r="WD249" s="48"/>
      <c r="WE249" s="48"/>
      <c r="WF249" s="48"/>
      <c r="WG249" s="48"/>
      <c r="WH249" s="48"/>
      <c r="WI249" s="48"/>
      <c r="WJ249" s="48"/>
      <c r="WK249" s="48"/>
      <c r="WL249" s="48"/>
      <c r="WM249" s="48"/>
      <c r="WN249" s="48"/>
      <c r="WO249" s="48"/>
      <c r="WP249" s="48"/>
      <c r="WQ249" s="48"/>
      <c r="WR249" s="48"/>
      <c r="WS249" s="48"/>
      <c r="WT249" s="48"/>
      <c r="WU249" s="48"/>
      <c r="WV249" s="48"/>
      <c r="WW249" s="48"/>
      <c r="WX249" s="48"/>
      <c r="WY249" s="48"/>
      <c r="WZ249" s="48"/>
      <c r="XA249" s="48"/>
      <c r="XB249" s="48"/>
      <c r="XC249" s="48"/>
      <c r="XD249" s="48"/>
      <c r="XE249" s="48"/>
      <c r="XF249" s="48"/>
      <c r="XG249" s="48"/>
      <c r="XH249" s="48"/>
      <c r="XI249" s="48"/>
      <c r="XJ249" s="48"/>
      <c r="XK249" s="48"/>
      <c r="XL249" s="48"/>
      <c r="XM249" s="48"/>
      <c r="XN249" s="48"/>
      <c r="XO249" s="48"/>
      <c r="XP249" s="48"/>
      <c r="XQ249" s="48"/>
      <c r="XR249" s="48"/>
      <c r="XS249" s="48"/>
      <c r="XT249" s="48"/>
      <c r="XU249" s="48"/>
      <c r="XV249" s="48"/>
      <c r="XW249" s="48"/>
      <c r="XX249" s="48"/>
      <c r="XY249" s="48"/>
      <c r="XZ249" s="48"/>
      <c r="YA249" s="48"/>
      <c r="YB249" s="48"/>
      <c r="YC249" s="48"/>
      <c r="YD249" s="48"/>
      <c r="YE249" s="48"/>
      <c r="YF249" s="48"/>
      <c r="YG249" s="48"/>
      <c r="YH249" s="48"/>
      <c r="YI249" s="48"/>
      <c r="YJ249" s="48"/>
      <c r="YK249" s="48"/>
      <c r="YL249" s="48"/>
      <c r="YM249" s="48"/>
      <c r="YN249" s="48"/>
      <c r="YO249" s="48"/>
      <c r="YP249" s="48"/>
      <c r="YQ249" s="48"/>
      <c r="YR249" s="48"/>
      <c r="YS249" s="48"/>
      <c r="YT249" s="48"/>
      <c r="YU249" s="48"/>
      <c r="YV249" s="48"/>
      <c r="YW249" s="48"/>
      <c r="YX249" s="48"/>
      <c r="YY249" s="48"/>
      <c r="YZ249" s="48"/>
      <c r="ZA249" s="48"/>
      <c r="ZB249" s="48"/>
      <c r="ZC249" s="48"/>
      <c r="ZD249" s="48"/>
      <c r="ZE249" s="48"/>
      <c r="ZF249" s="48"/>
      <c r="ZG249" s="48"/>
      <c r="ZH249" s="48"/>
      <c r="ZI249" s="48"/>
      <c r="ZJ249" s="48"/>
      <c r="ZK249" s="48"/>
      <c r="ZL249" s="48"/>
      <c r="ZM249" s="48"/>
      <c r="ZN249" s="48"/>
      <c r="ZO249" s="48"/>
      <c r="ZP249" s="48"/>
      <c r="ZQ249" s="48"/>
      <c r="ZR249" s="48"/>
      <c r="ZS249" s="48"/>
      <c r="ZT249" s="48"/>
      <c r="ZU249" s="48"/>
      <c r="ZV249" s="48"/>
      <c r="ZW249" s="48"/>
      <c r="ZX249" s="48"/>
      <c r="ZY249" s="48"/>
      <c r="ZZ249" s="48"/>
      <c r="AAA249" s="48"/>
      <c r="AAB249" s="48"/>
      <c r="AAC249" s="48"/>
      <c r="AAD249" s="48"/>
      <c r="AAE249" s="48"/>
      <c r="AAF249" s="48"/>
      <c r="AAG249" s="48"/>
      <c r="AAH249" s="48"/>
      <c r="AAI249" s="48"/>
      <c r="AAJ249" s="48"/>
      <c r="AAK249" s="48"/>
      <c r="AAL249" s="48"/>
      <c r="AAM249" s="48"/>
      <c r="AAN249" s="48"/>
      <c r="AAO249" s="48"/>
      <c r="AAP249" s="48"/>
      <c r="AAQ249" s="48"/>
      <c r="AAR249" s="48"/>
      <c r="AAS249" s="48"/>
      <c r="AAT249" s="48"/>
      <c r="AAU249" s="48"/>
      <c r="AAV249" s="48"/>
      <c r="AAW249" s="48"/>
      <c r="AAX249" s="48"/>
      <c r="AAY249" s="48"/>
      <c r="AAZ249" s="48"/>
      <c r="ABA249" s="48"/>
      <c r="ABB249" s="48"/>
      <c r="ABC249" s="48"/>
      <c r="ABD249" s="48"/>
      <c r="ABE249" s="48"/>
      <c r="ABF249" s="48"/>
      <c r="ABG249" s="48"/>
      <c r="ABH249" s="48"/>
      <c r="ABI249" s="48"/>
      <c r="ABJ249" s="48"/>
      <c r="ABK249" s="48"/>
      <c r="ABL249" s="48"/>
      <c r="ABM249" s="48"/>
      <c r="ABN249" s="48"/>
      <c r="ABO249" s="48"/>
      <c r="ABP249" s="48"/>
      <c r="ABQ249" s="48"/>
      <c r="ABR249" s="48"/>
      <c r="ABS249" s="48"/>
      <c r="ABT249" s="48"/>
      <c r="ABU249" s="48"/>
      <c r="ABV249" s="48"/>
      <c r="ABW249" s="48"/>
      <c r="ABX249" s="48"/>
      <c r="ABY249" s="48"/>
      <c r="ABZ249" s="48"/>
      <c r="ACA249" s="48"/>
      <c r="ACB249" s="48"/>
      <c r="ACC249" s="48"/>
      <c r="ACD249" s="48"/>
      <c r="ACE249" s="48"/>
      <c r="ACF249" s="48"/>
      <c r="ACG249" s="48"/>
      <c r="ACH249" s="48"/>
      <c r="ACI249" s="48"/>
      <c r="ACJ249" s="48"/>
      <c r="ACK249" s="48"/>
      <c r="ACL249" s="48"/>
      <c r="ACM249" s="48"/>
      <c r="ACN249" s="48"/>
      <c r="ACO249" s="48"/>
      <c r="ACP249" s="48"/>
      <c r="ACQ249" s="48"/>
      <c r="ACR249" s="48"/>
      <c r="ACS249" s="48"/>
      <c r="ACT249" s="48"/>
      <c r="ACU249" s="48"/>
      <c r="ACV249" s="48"/>
      <c r="ACW249" s="48"/>
      <c r="ACX249" s="48"/>
      <c r="ACY249" s="48"/>
      <c r="ACZ249" s="48"/>
      <c r="ADA249" s="48"/>
      <c r="ADB249" s="48"/>
      <c r="ADC249" s="48"/>
      <c r="ADD249" s="48"/>
      <c r="ADE249" s="48"/>
      <c r="ADF249" s="48"/>
      <c r="ADG249" s="48"/>
      <c r="ADH249" s="48"/>
      <c r="ADI249" s="48"/>
      <c r="ADJ249" s="48"/>
      <c r="ADK249" s="48"/>
      <c r="ADL249" s="48"/>
      <c r="ADM249" s="48"/>
      <c r="ADN249" s="48"/>
      <c r="ADO249" s="48"/>
      <c r="ADP249" s="48"/>
      <c r="ADQ249" s="48"/>
      <c r="ADR249" s="48"/>
      <c r="ADS249" s="48"/>
      <c r="ADT249" s="48"/>
      <c r="ADU249" s="48"/>
      <c r="ADV249" s="48"/>
      <c r="ADW249" s="48"/>
      <c r="ADX249" s="48"/>
      <c r="ADY249" s="48"/>
      <c r="ADZ249" s="48"/>
      <c r="AEA249" s="48"/>
      <c r="AEB249" s="48"/>
      <c r="AEC249" s="48"/>
      <c r="AED249" s="48"/>
      <c r="AEE249" s="48"/>
      <c r="AEF249" s="48"/>
      <c r="AEG249" s="48"/>
      <c r="AEH249" s="48"/>
      <c r="AEI249" s="48"/>
      <c r="AEJ249" s="48"/>
      <c r="AEK249" s="48"/>
      <c r="AEL249" s="48"/>
      <c r="AEM249" s="48"/>
      <c r="AEN249" s="48"/>
      <c r="AEO249" s="48"/>
      <c r="AEP249" s="48"/>
      <c r="AEQ249" s="48"/>
      <c r="AER249" s="48"/>
      <c r="AES249" s="48"/>
      <c r="AET249" s="48"/>
      <c r="AEU249" s="48"/>
      <c r="AEV249" s="48"/>
      <c r="AEW249" s="48"/>
      <c r="AEX249" s="48"/>
      <c r="AEY249" s="48"/>
      <c r="AEZ249" s="48"/>
      <c r="AFA249" s="48"/>
      <c r="AFB249" s="48"/>
      <c r="AFC249" s="48"/>
      <c r="AFD249" s="48"/>
      <c r="AFE249" s="48"/>
      <c r="AFF249" s="48"/>
      <c r="AFG249" s="48"/>
      <c r="AFH249" s="48"/>
      <c r="AFI249" s="48"/>
      <c r="AFJ249" s="48"/>
      <c r="AFK249" s="48"/>
      <c r="AFL249" s="48"/>
      <c r="AFM249" s="48"/>
      <c r="AFN249" s="48"/>
      <c r="AFO249" s="48"/>
      <c r="AFP249" s="48"/>
      <c r="AFQ249" s="48"/>
      <c r="AFR249" s="48"/>
      <c r="AFS249" s="48"/>
      <c r="AFT249" s="48"/>
      <c r="AFU249" s="48"/>
      <c r="AFV249" s="48"/>
      <c r="AFW249" s="48"/>
      <c r="AFX249" s="48"/>
      <c r="AFY249" s="48"/>
      <c r="AFZ249" s="48"/>
      <c r="AGA249" s="48"/>
      <c r="AGB249" s="48"/>
      <c r="AGC249" s="48"/>
      <c r="AGD249" s="48"/>
      <c r="AGE249" s="48"/>
      <c r="AGF249" s="48"/>
      <c r="AGG249" s="48"/>
      <c r="AGH249" s="48"/>
      <c r="AGI249" s="48"/>
      <c r="AGJ249" s="48"/>
      <c r="AGK249" s="48"/>
      <c r="AGL249" s="48"/>
      <c r="AGM249" s="48"/>
      <c r="AGN249" s="48"/>
      <c r="AGO249" s="48"/>
      <c r="AGP249" s="48"/>
      <c r="AGQ249" s="48"/>
      <c r="AGR249" s="48"/>
      <c r="AGS249" s="48"/>
      <c r="AGT249" s="48"/>
      <c r="AGU249" s="48"/>
      <c r="AGV249" s="48"/>
      <c r="AGW249" s="48"/>
      <c r="AGX249" s="48"/>
      <c r="AGY249" s="48"/>
      <c r="AGZ249" s="48"/>
      <c r="AHA249" s="48"/>
      <c r="AHB249" s="48"/>
      <c r="AHC249" s="48"/>
      <c r="AHD249" s="48"/>
      <c r="AHE249" s="48"/>
      <c r="AHF249" s="48"/>
      <c r="AHG249" s="48"/>
      <c r="AHH249" s="48"/>
      <c r="AHI249" s="48"/>
      <c r="AHJ249" s="48"/>
      <c r="AHK249" s="48"/>
      <c r="AHL249" s="48"/>
      <c r="AHM249" s="48"/>
      <c r="AHN249" s="48"/>
      <c r="AHO249" s="48"/>
      <c r="AHP249" s="48"/>
      <c r="AHQ249" s="48"/>
      <c r="AHR249" s="48"/>
      <c r="AHS249" s="48"/>
      <c r="AHT249" s="48"/>
      <c r="AHU249" s="48"/>
      <c r="AHV249" s="48"/>
      <c r="AHW249" s="48"/>
      <c r="AHX249" s="48"/>
      <c r="AHY249" s="48"/>
      <c r="AHZ249" s="48"/>
      <c r="AIA249" s="48"/>
      <c r="AIB249" s="48"/>
      <c r="AIC249" s="48"/>
      <c r="AID249" s="48"/>
      <c r="AIE249" s="48"/>
      <c r="AIF249" s="48"/>
      <c r="AIG249" s="48"/>
      <c r="AIH249" s="48"/>
      <c r="AII249" s="48"/>
      <c r="AIJ249" s="48"/>
      <c r="AIK249" s="48"/>
      <c r="AIL249" s="48"/>
      <c r="AIM249" s="48"/>
      <c r="AIN249" s="48"/>
      <c r="AIO249" s="48"/>
      <c r="AIP249" s="48"/>
      <c r="AIQ249" s="48"/>
      <c r="AIR249" s="48"/>
      <c r="AIS249" s="48"/>
      <c r="AIT249" s="48"/>
      <c r="AIU249" s="48"/>
      <c r="AIV249" s="48"/>
      <c r="AIW249" s="48"/>
      <c r="AIX249" s="48"/>
      <c r="AIY249" s="48"/>
      <c r="AIZ249" s="48"/>
      <c r="AJA249" s="48"/>
      <c r="AJB249" s="48"/>
      <c r="AJC249" s="48"/>
      <c r="AJD249" s="48"/>
      <c r="AJE249" s="48"/>
      <c r="AJF249" s="48"/>
      <c r="AJG249" s="48"/>
      <c r="AJH249" s="48"/>
      <c r="AJI249" s="48"/>
      <c r="AJJ249" s="48"/>
      <c r="AJK249" s="48"/>
      <c r="AJL249" s="48"/>
      <c r="AJM249" s="48"/>
      <c r="AJN249" s="48"/>
      <c r="AJO249" s="48"/>
      <c r="AJP249" s="48"/>
      <c r="AJQ249" s="48"/>
      <c r="AJR249" s="48"/>
      <c r="AJS249" s="48"/>
      <c r="AJT249" s="48"/>
      <c r="AJU249" s="48"/>
      <c r="AJV249" s="48"/>
      <c r="AJW249" s="48"/>
      <c r="AJX249" s="48"/>
      <c r="AJY249" s="48"/>
      <c r="AJZ249" s="48"/>
      <c r="AKA249" s="48"/>
      <c r="AKB249" s="48"/>
      <c r="AKC249" s="48"/>
      <c r="AKD249" s="48"/>
      <c r="AKE249" s="48"/>
      <c r="AKF249" s="48"/>
      <c r="AKG249" s="48"/>
      <c r="AKH249" s="48"/>
      <c r="AKI249" s="48"/>
      <c r="AKJ249" s="48"/>
      <c r="AKK249" s="48"/>
      <c r="AKL249" s="48"/>
      <c r="AKM249" s="48"/>
      <c r="AKN249" s="48"/>
      <c r="AKO249" s="48"/>
      <c r="AKP249" s="48"/>
      <c r="AKQ249" s="48"/>
      <c r="AKR249" s="48"/>
      <c r="AKS249" s="48"/>
      <c r="AKT249" s="48"/>
      <c r="AKU249" s="48"/>
      <c r="AKV249" s="48"/>
      <c r="AKW249" s="48"/>
      <c r="AKX249" s="48"/>
      <c r="AKY249" s="48"/>
      <c r="AKZ249" s="48"/>
      <c r="ALA249" s="48"/>
      <c r="ALB249" s="48"/>
      <c r="ALC249" s="48"/>
      <c r="ALD249" s="48"/>
      <c r="ALE249" s="48"/>
      <c r="ALF249" s="48"/>
      <c r="ALG249" s="48"/>
      <c r="ALH249" s="48"/>
      <c r="ALI249" s="48"/>
      <c r="ALJ249" s="48"/>
      <c r="ALK249" s="48"/>
      <c r="ALL249" s="48"/>
      <c r="ALM249" s="48"/>
      <c r="ALN249" s="48"/>
      <c r="ALO249" s="48"/>
      <c r="ALP249" s="48"/>
      <c r="ALQ249" s="48"/>
      <c r="ALR249" s="48"/>
      <c r="ALS249" s="48"/>
      <c r="ALT249" s="48"/>
      <c r="ALU249" s="48"/>
      <c r="ALV249" s="48"/>
      <c r="ALW249" s="48"/>
      <c r="ALX249" s="48"/>
      <c r="ALY249" s="48"/>
      <c r="ALZ249" s="48"/>
      <c r="AMA249" s="48"/>
      <c r="AMB249" s="48"/>
      <c r="AMC249" s="48"/>
      <c r="AMD249" s="48"/>
      <c r="AME249" s="48"/>
      <c r="AMF249" s="48"/>
      <c r="AMG249" s="48"/>
      <c r="AMH249" s="48"/>
      <c r="AMI249" s="48"/>
      <c r="AMJ249" s="48"/>
      <c r="AMK249" s="48"/>
    </row>
    <row r="250" spans="1:1025" s="80" customFormat="1" x14ac:dyDescent="0.25">
      <c r="A250" s="140" t="s">
        <v>671</v>
      </c>
      <c r="B250" s="54" t="s">
        <v>138</v>
      </c>
      <c r="C250" s="55">
        <v>15.7</v>
      </c>
      <c r="D250" s="55">
        <v>15.7</v>
      </c>
      <c r="E250" s="55">
        <v>19.8</v>
      </c>
      <c r="F250" s="55">
        <v>289</v>
      </c>
      <c r="G250" s="55">
        <v>24.5</v>
      </c>
      <c r="H250" s="55">
        <v>2.8</v>
      </c>
      <c r="I250" s="55">
        <v>0</v>
      </c>
      <c r="J250" s="55">
        <v>10.7</v>
      </c>
      <c r="K250" s="120" t="s">
        <v>284</v>
      </c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  <c r="BN250" s="48"/>
      <c r="BO250" s="48"/>
      <c r="BP250" s="48"/>
      <c r="BQ250" s="48"/>
      <c r="BR250" s="48"/>
      <c r="BS250" s="48"/>
      <c r="BT250" s="48"/>
      <c r="BU250" s="48"/>
      <c r="BV250" s="48"/>
      <c r="BW250" s="48"/>
      <c r="BX250" s="48"/>
      <c r="BY250" s="48"/>
      <c r="BZ250" s="48"/>
      <c r="CA250" s="48"/>
      <c r="CB250" s="48"/>
      <c r="CC250" s="48"/>
      <c r="CD250" s="48"/>
      <c r="CE250" s="48"/>
      <c r="CF250" s="48"/>
      <c r="CG250" s="48"/>
      <c r="CH250" s="48"/>
      <c r="CI250" s="48"/>
      <c r="CJ250" s="48"/>
      <c r="CK250" s="48"/>
      <c r="CL250" s="48"/>
      <c r="CM250" s="48"/>
      <c r="CN250" s="48"/>
      <c r="CO250" s="48"/>
      <c r="CP250" s="48"/>
      <c r="CQ250" s="48"/>
      <c r="CR250" s="48"/>
      <c r="CS250" s="48"/>
      <c r="CT250" s="48"/>
      <c r="CU250" s="48"/>
      <c r="CV250" s="48"/>
      <c r="CW250" s="48"/>
      <c r="CX250" s="48"/>
      <c r="CY250" s="48"/>
      <c r="CZ250" s="48"/>
      <c r="DA250" s="48"/>
      <c r="DB250" s="48"/>
      <c r="DC250" s="48"/>
      <c r="DD250" s="48"/>
      <c r="DE250" s="48"/>
      <c r="DF250" s="48"/>
      <c r="DG250" s="48"/>
      <c r="DH250" s="48"/>
      <c r="DI250" s="48"/>
      <c r="DJ250" s="48"/>
      <c r="DK250" s="48"/>
      <c r="DL250" s="48"/>
      <c r="DM250" s="48"/>
      <c r="DN250" s="48"/>
      <c r="DO250" s="48"/>
      <c r="DP250" s="48"/>
      <c r="DQ250" s="48"/>
      <c r="DR250" s="48"/>
      <c r="DS250" s="48"/>
      <c r="DT250" s="48"/>
      <c r="DU250" s="48"/>
      <c r="DV250" s="48"/>
      <c r="DW250" s="48"/>
      <c r="DX250" s="48"/>
      <c r="DY250" s="48"/>
      <c r="DZ250" s="48"/>
      <c r="EA250" s="48"/>
      <c r="EB250" s="48"/>
      <c r="EC250" s="48"/>
      <c r="ED250" s="48"/>
      <c r="EE250" s="48"/>
      <c r="EF250" s="48"/>
      <c r="EG250" s="48"/>
      <c r="EH250" s="48"/>
      <c r="EI250" s="48"/>
      <c r="EJ250" s="48"/>
      <c r="EK250" s="48"/>
      <c r="EL250" s="48"/>
      <c r="EM250" s="48"/>
      <c r="EN250" s="48"/>
      <c r="EO250" s="48"/>
      <c r="EP250" s="48"/>
      <c r="EQ250" s="48"/>
      <c r="ER250" s="48"/>
      <c r="ES250" s="48"/>
      <c r="ET250" s="48"/>
      <c r="EU250" s="48"/>
      <c r="EV250" s="48"/>
      <c r="EW250" s="48"/>
      <c r="EX250" s="48"/>
      <c r="EY250" s="48"/>
      <c r="EZ250" s="48"/>
      <c r="FA250" s="48"/>
      <c r="FB250" s="48"/>
      <c r="FC250" s="48"/>
      <c r="FD250" s="48"/>
      <c r="FE250" s="48"/>
      <c r="FF250" s="48"/>
      <c r="FG250" s="48"/>
      <c r="FH250" s="48"/>
      <c r="FI250" s="48"/>
      <c r="FJ250" s="48"/>
      <c r="FK250" s="48"/>
      <c r="FL250" s="48"/>
      <c r="FM250" s="48"/>
      <c r="FN250" s="48"/>
      <c r="FO250" s="48"/>
      <c r="FP250" s="48"/>
      <c r="FQ250" s="48"/>
      <c r="FR250" s="48"/>
      <c r="FS250" s="48"/>
      <c r="FT250" s="48"/>
      <c r="FU250" s="48"/>
      <c r="FV250" s="48"/>
      <c r="FW250" s="48"/>
      <c r="FX250" s="48"/>
      <c r="FY250" s="48"/>
      <c r="FZ250" s="48"/>
      <c r="GA250" s="48"/>
      <c r="GB250" s="48"/>
      <c r="GC250" s="48"/>
      <c r="GD250" s="48"/>
      <c r="GE250" s="48"/>
      <c r="GF250" s="48"/>
      <c r="GG250" s="48"/>
      <c r="GH250" s="48"/>
      <c r="GI250" s="48"/>
      <c r="GJ250" s="48"/>
      <c r="GK250" s="48"/>
      <c r="GL250" s="48"/>
      <c r="GM250" s="48"/>
      <c r="GN250" s="48"/>
      <c r="GO250" s="48"/>
      <c r="GP250" s="48"/>
      <c r="GQ250" s="48"/>
      <c r="GR250" s="48"/>
      <c r="GS250" s="48"/>
      <c r="GT250" s="48"/>
      <c r="GU250" s="48"/>
      <c r="GV250" s="48"/>
      <c r="GW250" s="48"/>
      <c r="GX250" s="48"/>
      <c r="GY250" s="48"/>
      <c r="GZ250" s="48"/>
      <c r="HA250" s="48"/>
      <c r="HB250" s="48"/>
      <c r="HC250" s="48"/>
      <c r="HD250" s="48"/>
      <c r="HE250" s="48"/>
      <c r="HF250" s="48"/>
      <c r="HG250" s="48"/>
      <c r="HH250" s="48"/>
      <c r="HI250" s="48"/>
      <c r="HJ250" s="48"/>
      <c r="HK250" s="48"/>
      <c r="HL250" s="48"/>
      <c r="HM250" s="48"/>
      <c r="HN250" s="48"/>
      <c r="HO250" s="48"/>
      <c r="HP250" s="48"/>
      <c r="HQ250" s="48"/>
      <c r="HR250" s="48"/>
      <c r="HS250" s="48"/>
      <c r="HT250" s="48"/>
      <c r="HU250" s="48"/>
      <c r="HV250" s="48"/>
      <c r="HW250" s="48"/>
      <c r="HX250" s="48"/>
      <c r="HY250" s="48"/>
      <c r="HZ250" s="48"/>
      <c r="IA250" s="48"/>
      <c r="IB250" s="48"/>
      <c r="IC250" s="48"/>
      <c r="ID250" s="48"/>
      <c r="IE250" s="48"/>
      <c r="IF250" s="48"/>
      <c r="IG250" s="48"/>
      <c r="IH250" s="48"/>
      <c r="II250" s="48"/>
      <c r="IJ250" s="48"/>
      <c r="IK250" s="48"/>
      <c r="IL250" s="48"/>
      <c r="IM250" s="48"/>
      <c r="IN250" s="48"/>
      <c r="IO250" s="48"/>
      <c r="IP250" s="48"/>
      <c r="IQ250" s="48"/>
      <c r="IR250" s="48"/>
      <c r="IS250" s="48"/>
      <c r="IT250" s="48"/>
      <c r="IU250" s="48"/>
      <c r="IV250" s="48"/>
      <c r="IW250" s="48"/>
      <c r="IX250" s="48"/>
      <c r="IY250" s="48"/>
      <c r="IZ250" s="48"/>
      <c r="JA250" s="48"/>
      <c r="JB250" s="48"/>
      <c r="JC250" s="48"/>
      <c r="JD250" s="48"/>
      <c r="JE250" s="48"/>
      <c r="JF250" s="48"/>
      <c r="JG250" s="48"/>
      <c r="JH250" s="48"/>
      <c r="JI250" s="48"/>
      <c r="JJ250" s="48"/>
      <c r="JK250" s="48"/>
      <c r="JL250" s="48"/>
      <c r="JM250" s="48"/>
      <c r="JN250" s="48"/>
      <c r="JO250" s="48"/>
      <c r="JP250" s="48"/>
      <c r="JQ250" s="48"/>
      <c r="JR250" s="48"/>
      <c r="JS250" s="48"/>
      <c r="JT250" s="48"/>
      <c r="JU250" s="48"/>
      <c r="JV250" s="48"/>
      <c r="JW250" s="48"/>
      <c r="JX250" s="48"/>
      <c r="JY250" s="48"/>
      <c r="JZ250" s="48"/>
      <c r="KA250" s="48"/>
      <c r="KB250" s="48"/>
      <c r="KC250" s="48"/>
      <c r="KD250" s="48"/>
      <c r="KE250" s="48"/>
      <c r="KF250" s="48"/>
      <c r="KG250" s="48"/>
      <c r="KH250" s="48"/>
      <c r="KI250" s="48"/>
      <c r="KJ250" s="48"/>
      <c r="KK250" s="48"/>
      <c r="KL250" s="48"/>
      <c r="KM250" s="48"/>
      <c r="KN250" s="48"/>
      <c r="KO250" s="48"/>
      <c r="KP250" s="48"/>
      <c r="KQ250" s="48"/>
      <c r="KR250" s="48"/>
      <c r="KS250" s="48"/>
      <c r="KT250" s="48"/>
      <c r="KU250" s="48"/>
      <c r="KV250" s="48"/>
      <c r="KW250" s="48"/>
      <c r="KX250" s="48"/>
      <c r="KY250" s="48"/>
      <c r="KZ250" s="48"/>
      <c r="LA250" s="48"/>
      <c r="LB250" s="48"/>
      <c r="LC250" s="48"/>
      <c r="LD250" s="48"/>
      <c r="LE250" s="48"/>
      <c r="LF250" s="48"/>
      <c r="LG250" s="48"/>
      <c r="LH250" s="48"/>
      <c r="LI250" s="48"/>
      <c r="LJ250" s="48"/>
      <c r="LK250" s="48"/>
      <c r="LL250" s="48"/>
      <c r="LM250" s="48"/>
      <c r="LN250" s="48"/>
      <c r="LO250" s="48"/>
      <c r="LP250" s="48"/>
      <c r="LQ250" s="48"/>
      <c r="LR250" s="48"/>
      <c r="LS250" s="48"/>
      <c r="LT250" s="48"/>
      <c r="LU250" s="48"/>
      <c r="LV250" s="48"/>
      <c r="LW250" s="48"/>
      <c r="LX250" s="48"/>
      <c r="LY250" s="48"/>
      <c r="LZ250" s="48"/>
      <c r="MA250" s="48"/>
      <c r="MB250" s="48"/>
      <c r="MC250" s="48"/>
      <c r="MD250" s="48"/>
      <c r="ME250" s="48"/>
      <c r="MF250" s="48"/>
      <c r="MG250" s="48"/>
      <c r="MH250" s="48"/>
      <c r="MI250" s="48"/>
      <c r="MJ250" s="48"/>
      <c r="MK250" s="48"/>
      <c r="ML250" s="48"/>
      <c r="MM250" s="48"/>
      <c r="MN250" s="48"/>
      <c r="MO250" s="48"/>
      <c r="MP250" s="48"/>
      <c r="MQ250" s="48"/>
      <c r="MR250" s="48"/>
      <c r="MS250" s="48"/>
      <c r="MT250" s="48"/>
      <c r="MU250" s="48"/>
      <c r="MV250" s="48"/>
      <c r="MW250" s="48"/>
      <c r="MX250" s="48"/>
      <c r="MY250" s="48"/>
      <c r="MZ250" s="48"/>
      <c r="NA250" s="48"/>
      <c r="NB250" s="48"/>
      <c r="NC250" s="48"/>
      <c r="ND250" s="48"/>
      <c r="NE250" s="48"/>
      <c r="NF250" s="48"/>
      <c r="NG250" s="48"/>
      <c r="NH250" s="48"/>
      <c r="NI250" s="48"/>
      <c r="NJ250" s="48"/>
      <c r="NK250" s="48"/>
      <c r="NL250" s="48"/>
      <c r="NM250" s="48"/>
      <c r="NN250" s="48"/>
      <c r="NO250" s="48"/>
      <c r="NP250" s="48"/>
      <c r="NQ250" s="48"/>
      <c r="NR250" s="48"/>
      <c r="NS250" s="48"/>
      <c r="NT250" s="48"/>
      <c r="NU250" s="48"/>
      <c r="NV250" s="48"/>
      <c r="NW250" s="48"/>
      <c r="NX250" s="48"/>
      <c r="NY250" s="48"/>
      <c r="NZ250" s="48"/>
      <c r="OA250" s="48"/>
      <c r="OB250" s="48"/>
      <c r="OC250" s="48"/>
      <c r="OD250" s="48"/>
      <c r="OE250" s="48"/>
      <c r="OF250" s="48"/>
      <c r="OG250" s="48"/>
      <c r="OH250" s="48"/>
      <c r="OI250" s="48"/>
      <c r="OJ250" s="48"/>
      <c r="OK250" s="48"/>
      <c r="OL250" s="48"/>
      <c r="OM250" s="48"/>
      <c r="ON250" s="48"/>
      <c r="OO250" s="48"/>
      <c r="OP250" s="48"/>
      <c r="OQ250" s="48"/>
      <c r="OR250" s="48"/>
      <c r="OS250" s="48"/>
      <c r="OT250" s="48"/>
      <c r="OU250" s="48"/>
      <c r="OV250" s="48"/>
      <c r="OW250" s="48"/>
      <c r="OX250" s="48"/>
      <c r="OY250" s="48"/>
      <c r="OZ250" s="48"/>
      <c r="PA250" s="48"/>
      <c r="PB250" s="48"/>
      <c r="PC250" s="48"/>
      <c r="PD250" s="48"/>
      <c r="PE250" s="48"/>
      <c r="PF250" s="48"/>
      <c r="PG250" s="48"/>
      <c r="PH250" s="48"/>
      <c r="PI250" s="48"/>
      <c r="PJ250" s="48"/>
      <c r="PK250" s="48"/>
      <c r="PL250" s="48"/>
      <c r="PM250" s="48"/>
      <c r="PN250" s="48"/>
      <c r="PO250" s="48"/>
      <c r="PP250" s="48"/>
      <c r="PQ250" s="48"/>
      <c r="PR250" s="48"/>
      <c r="PS250" s="48"/>
      <c r="PT250" s="48"/>
      <c r="PU250" s="48"/>
      <c r="PV250" s="48"/>
      <c r="PW250" s="48"/>
      <c r="PX250" s="48"/>
      <c r="PY250" s="48"/>
      <c r="PZ250" s="48"/>
      <c r="QA250" s="48"/>
      <c r="QB250" s="48"/>
      <c r="QC250" s="48"/>
      <c r="QD250" s="48"/>
      <c r="QE250" s="48"/>
      <c r="QF250" s="48"/>
      <c r="QG250" s="48"/>
      <c r="QH250" s="48"/>
      <c r="QI250" s="48"/>
      <c r="QJ250" s="48"/>
      <c r="QK250" s="48"/>
      <c r="QL250" s="48"/>
      <c r="QM250" s="48"/>
      <c r="QN250" s="48"/>
      <c r="QO250" s="48"/>
      <c r="QP250" s="48"/>
      <c r="QQ250" s="48"/>
      <c r="QR250" s="48"/>
      <c r="QS250" s="48"/>
      <c r="QT250" s="48"/>
      <c r="QU250" s="48"/>
      <c r="QV250" s="48"/>
      <c r="QW250" s="48"/>
      <c r="QX250" s="48"/>
      <c r="QY250" s="48"/>
      <c r="QZ250" s="48"/>
      <c r="RA250" s="48"/>
      <c r="RB250" s="48"/>
      <c r="RC250" s="48"/>
      <c r="RD250" s="48"/>
      <c r="RE250" s="48"/>
      <c r="RF250" s="48"/>
      <c r="RG250" s="48"/>
      <c r="RH250" s="48"/>
      <c r="RI250" s="48"/>
      <c r="RJ250" s="48"/>
      <c r="RK250" s="48"/>
      <c r="RL250" s="48"/>
      <c r="RM250" s="48"/>
      <c r="RN250" s="48"/>
      <c r="RO250" s="48"/>
      <c r="RP250" s="48"/>
      <c r="RQ250" s="48"/>
      <c r="RR250" s="48"/>
      <c r="RS250" s="48"/>
      <c r="RT250" s="48"/>
      <c r="RU250" s="48"/>
      <c r="RV250" s="48"/>
      <c r="RW250" s="48"/>
      <c r="RX250" s="48"/>
      <c r="RY250" s="48"/>
      <c r="RZ250" s="48"/>
      <c r="SA250" s="48"/>
      <c r="SB250" s="48"/>
      <c r="SC250" s="48"/>
      <c r="SD250" s="48"/>
      <c r="SE250" s="48"/>
      <c r="SF250" s="48"/>
      <c r="SG250" s="48"/>
      <c r="SH250" s="48"/>
      <c r="SI250" s="48"/>
      <c r="SJ250" s="48"/>
      <c r="SK250" s="48"/>
      <c r="SL250" s="48"/>
      <c r="SM250" s="48"/>
      <c r="SN250" s="48"/>
      <c r="SO250" s="48"/>
      <c r="SP250" s="48"/>
      <c r="SQ250" s="48"/>
      <c r="SR250" s="48"/>
      <c r="SS250" s="48"/>
      <c r="ST250" s="48"/>
      <c r="SU250" s="48"/>
      <c r="SV250" s="48"/>
      <c r="SW250" s="48"/>
      <c r="SX250" s="48"/>
      <c r="SY250" s="48"/>
      <c r="SZ250" s="48"/>
      <c r="TA250" s="48"/>
      <c r="TB250" s="48"/>
      <c r="TC250" s="48"/>
      <c r="TD250" s="48"/>
      <c r="TE250" s="48"/>
      <c r="TF250" s="48"/>
      <c r="TG250" s="48"/>
      <c r="TH250" s="48"/>
      <c r="TI250" s="48"/>
      <c r="TJ250" s="48"/>
      <c r="TK250" s="48"/>
      <c r="TL250" s="48"/>
      <c r="TM250" s="48"/>
      <c r="TN250" s="48"/>
      <c r="TO250" s="48"/>
      <c r="TP250" s="48"/>
      <c r="TQ250" s="48"/>
      <c r="TR250" s="48"/>
      <c r="TS250" s="48"/>
      <c r="TT250" s="48"/>
      <c r="TU250" s="48"/>
      <c r="TV250" s="48"/>
      <c r="TW250" s="48"/>
      <c r="TX250" s="48"/>
      <c r="TY250" s="48"/>
      <c r="TZ250" s="48"/>
      <c r="UA250" s="48"/>
      <c r="UB250" s="48"/>
      <c r="UC250" s="48"/>
      <c r="UD250" s="48"/>
      <c r="UE250" s="48"/>
      <c r="UF250" s="48"/>
      <c r="UG250" s="48"/>
      <c r="UH250" s="48"/>
      <c r="UI250" s="48"/>
      <c r="UJ250" s="48"/>
      <c r="UK250" s="48"/>
      <c r="UL250" s="48"/>
      <c r="UM250" s="48"/>
      <c r="UN250" s="48"/>
      <c r="UO250" s="48"/>
      <c r="UP250" s="48"/>
      <c r="UQ250" s="48"/>
      <c r="UR250" s="48"/>
      <c r="US250" s="48"/>
      <c r="UT250" s="48"/>
      <c r="UU250" s="48"/>
      <c r="UV250" s="48"/>
      <c r="UW250" s="48"/>
      <c r="UX250" s="48"/>
      <c r="UY250" s="48"/>
      <c r="UZ250" s="48"/>
      <c r="VA250" s="48"/>
      <c r="VB250" s="48"/>
      <c r="VC250" s="48"/>
      <c r="VD250" s="48"/>
      <c r="VE250" s="48"/>
      <c r="VF250" s="48"/>
      <c r="VG250" s="48"/>
      <c r="VH250" s="48"/>
      <c r="VI250" s="48"/>
      <c r="VJ250" s="48"/>
      <c r="VK250" s="48"/>
      <c r="VL250" s="48"/>
      <c r="VM250" s="48"/>
      <c r="VN250" s="48"/>
      <c r="VO250" s="48"/>
      <c r="VP250" s="48"/>
      <c r="VQ250" s="48"/>
      <c r="VR250" s="48"/>
      <c r="VS250" s="48"/>
      <c r="VT250" s="48"/>
      <c r="VU250" s="48"/>
      <c r="VV250" s="48"/>
      <c r="VW250" s="48"/>
      <c r="VX250" s="48"/>
      <c r="VY250" s="48"/>
      <c r="VZ250" s="48"/>
      <c r="WA250" s="48"/>
      <c r="WB250" s="48"/>
      <c r="WC250" s="48"/>
      <c r="WD250" s="48"/>
      <c r="WE250" s="48"/>
      <c r="WF250" s="48"/>
      <c r="WG250" s="48"/>
      <c r="WH250" s="48"/>
      <c r="WI250" s="48"/>
      <c r="WJ250" s="48"/>
      <c r="WK250" s="48"/>
      <c r="WL250" s="48"/>
      <c r="WM250" s="48"/>
      <c r="WN250" s="48"/>
      <c r="WO250" s="48"/>
      <c r="WP250" s="48"/>
      <c r="WQ250" s="48"/>
      <c r="WR250" s="48"/>
      <c r="WS250" s="48"/>
      <c r="WT250" s="48"/>
      <c r="WU250" s="48"/>
      <c r="WV250" s="48"/>
      <c r="WW250" s="48"/>
      <c r="WX250" s="48"/>
      <c r="WY250" s="48"/>
      <c r="WZ250" s="48"/>
      <c r="XA250" s="48"/>
      <c r="XB250" s="48"/>
      <c r="XC250" s="48"/>
      <c r="XD250" s="48"/>
      <c r="XE250" s="48"/>
      <c r="XF250" s="48"/>
      <c r="XG250" s="48"/>
      <c r="XH250" s="48"/>
      <c r="XI250" s="48"/>
      <c r="XJ250" s="48"/>
      <c r="XK250" s="48"/>
      <c r="XL250" s="48"/>
      <c r="XM250" s="48"/>
      <c r="XN250" s="48"/>
      <c r="XO250" s="48"/>
      <c r="XP250" s="48"/>
      <c r="XQ250" s="48"/>
      <c r="XR250" s="48"/>
      <c r="XS250" s="48"/>
      <c r="XT250" s="48"/>
      <c r="XU250" s="48"/>
      <c r="XV250" s="48"/>
      <c r="XW250" s="48"/>
      <c r="XX250" s="48"/>
      <c r="XY250" s="48"/>
      <c r="XZ250" s="48"/>
      <c r="YA250" s="48"/>
      <c r="YB250" s="48"/>
      <c r="YC250" s="48"/>
      <c r="YD250" s="48"/>
      <c r="YE250" s="48"/>
      <c r="YF250" s="48"/>
      <c r="YG250" s="48"/>
      <c r="YH250" s="48"/>
      <c r="YI250" s="48"/>
      <c r="YJ250" s="48"/>
      <c r="YK250" s="48"/>
      <c r="YL250" s="48"/>
      <c r="YM250" s="48"/>
      <c r="YN250" s="48"/>
      <c r="YO250" s="48"/>
      <c r="YP250" s="48"/>
      <c r="YQ250" s="48"/>
      <c r="YR250" s="48"/>
      <c r="YS250" s="48"/>
      <c r="YT250" s="48"/>
      <c r="YU250" s="48"/>
      <c r="YV250" s="48"/>
      <c r="YW250" s="48"/>
      <c r="YX250" s="48"/>
      <c r="YY250" s="48"/>
      <c r="YZ250" s="48"/>
      <c r="ZA250" s="48"/>
      <c r="ZB250" s="48"/>
      <c r="ZC250" s="48"/>
      <c r="ZD250" s="48"/>
      <c r="ZE250" s="48"/>
      <c r="ZF250" s="48"/>
      <c r="ZG250" s="48"/>
      <c r="ZH250" s="48"/>
      <c r="ZI250" s="48"/>
      <c r="ZJ250" s="48"/>
      <c r="ZK250" s="48"/>
      <c r="ZL250" s="48"/>
      <c r="ZM250" s="48"/>
      <c r="ZN250" s="48"/>
      <c r="ZO250" s="48"/>
      <c r="ZP250" s="48"/>
      <c r="ZQ250" s="48"/>
      <c r="ZR250" s="48"/>
      <c r="ZS250" s="48"/>
      <c r="ZT250" s="48"/>
      <c r="ZU250" s="48"/>
      <c r="ZV250" s="48"/>
      <c r="ZW250" s="48"/>
      <c r="ZX250" s="48"/>
      <c r="ZY250" s="48"/>
      <c r="ZZ250" s="48"/>
      <c r="AAA250" s="48"/>
      <c r="AAB250" s="48"/>
      <c r="AAC250" s="48"/>
      <c r="AAD250" s="48"/>
      <c r="AAE250" s="48"/>
      <c r="AAF250" s="48"/>
      <c r="AAG250" s="48"/>
      <c r="AAH250" s="48"/>
      <c r="AAI250" s="48"/>
      <c r="AAJ250" s="48"/>
      <c r="AAK250" s="48"/>
      <c r="AAL250" s="48"/>
      <c r="AAM250" s="48"/>
      <c r="AAN250" s="48"/>
      <c r="AAO250" s="48"/>
      <c r="AAP250" s="48"/>
      <c r="AAQ250" s="48"/>
      <c r="AAR250" s="48"/>
      <c r="AAS250" s="48"/>
      <c r="AAT250" s="48"/>
      <c r="AAU250" s="48"/>
      <c r="AAV250" s="48"/>
      <c r="AAW250" s="48"/>
      <c r="AAX250" s="48"/>
      <c r="AAY250" s="48"/>
      <c r="AAZ250" s="48"/>
      <c r="ABA250" s="48"/>
      <c r="ABB250" s="48"/>
      <c r="ABC250" s="48"/>
      <c r="ABD250" s="48"/>
      <c r="ABE250" s="48"/>
      <c r="ABF250" s="48"/>
      <c r="ABG250" s="48"/>
      <c r="ABH250" s="48"/>
      <c r="ABI250" s="48"/>
      <c r="ABJ250" s="48"/>
      <c r="ABK250" s="48"/>
      <c r="ABL250" s="48"/>
      <c r="ABM250" s="48"/>
      <c r="ABN250" s="48"/>
      <c r="ABO250" s="48"/>
      <c r="ABP250" s="48"/>
      <c r="ABQ250" s="48"/>
      <c r="ABR250" s="48"/>
      <c r="ABS250" s="48"/>
      <c r="ABT250" s="48"/>
      <c r="ABU250" s="48"/>
      <c r="ABV250" s="48"/>
      <c r="ABW250" s="48"/>
      <c r="ABX250" s="48"/>
      <c r="ABY250" s="48"/>
      <c r="ABZ250" s="48"/>
      <c r="ACA250" s="48"/>
      <c r="ACB250" s="48"/>
      <c r="ACC250" s="48"/>
      <c r="ACD250" s="48"/>
      <c r="ACE250" s="48"/>
      <c r="ACF250" s="48"/>
      <c r="ACG250" s="48"/>
      <c r="ACH250" s="48"/>
      <c r="ACI250" s="48"/>
      <c r="ACJ250" s="48"/>
      <c r="ACK250" s="48"/>
      <c r="ACL250" s="48"/>
      <c r="ACM250" s="48"/>
      <c r="ACN250" s="48"/>
      <c r="ACO250" s="48"/>
      <c r="ACP250" s="48"/>
      <c r="ACQ250" s="48"/>
      <c r="ACR250" s="48"/>
      <c r="ACS250" s="48"/>
      <c r="ACT250" s="48"/>
      <c r="ACU250" s="48"/>
      <c r="ACV250" s="48"/>
      <c r="ACW250" s="48"/>
      <c r="ACX250" s="48"/>
      <c r="ACY250" s="48"/>
      <c r="ACZ250" s="48"/>
      <c r="ADA250" s="48"/>
      <c r="ADB250" s="48"/>
      <c r="ADC250" s="48"/>
      <c r="ADD250" s="48"/>
      <c r="ADE250" s="48"/>
      <c r="ADF250" s="48"/>
      <c r="ADG250" s="48"/>
      <c r="ADH250" s="48"/>
      <c r="ADI250" s="48"/>
      <c r="ADJ250" s="48"/>
      <c r="ADK250" s="48"/>
      <c r="ADL250" s="48"/>
      <c r="ADM250" s="48"/>
      <c r="ADN250" s="48"/>
      <c r="ADO250" s="48"/>
      <c r="ADP250" s="48"/>
      <c r="ADQ250" s="48"/>
      <c r="ADR250" s="48"/>
      <c r="ADS250" s="48"/>
      <c r="ADT250" s="48"/>
      <c r="ADU250" s="48"/>
      <c r="ADV250" s="48"/>
      <c r="ADW250" s="48"/>
      <c r="ADX250" s="48"/>
      <c r="ADY250" s="48"/>
      <c r="ADZ250" s="48"/>
      <c r="AEA250" s="48"/>
      <c r="AEB250" s="48"/>
      <c r="AEC250" s="48"/>
      <c r="AED250" s="48"/>
      <c r="AEE250" s="48"/>
      <c r="AEF250" s="48"/>
      <c r="AEG250" s="48"/>
      <c r="AEH250" s="48"/>
      <c r="AEI250" s="48"/>
      <c r="AEJ250" s="48"/>
      <c r="AEK250" s="48"/>
      <c r="AEL250" s="48"/>
      <c r="AEM250" s="48"/>
      <c r="AEN250" s="48"/>
      <c r="AEO250" s="48"/>
      <c r="AEP250" s="48"/>
      <c r="AEQ250" s="48"/>
      <c r="AER250" s="48"/>
      <c r="AES250" s="48"/>
      <c r="AET250" s="48"/>
      <c r="AEU250" s="48"/>
      <c r="AEV250" s="48"/>
      <c r="AEW250" s="48"/>
      <c r="AEX250" s="48"/>
      <c r="AEY250" s="48"/>
      <c r="AEZ250" s="48"/>
      <c r="AFA250" s="48"/>
      <c r="AFB250" s="48"/>
      <c r="AFC250" s="48"/>
      <c r="AFD250" s="48"/>
      <c r="AFE250" s="48"/>
      <c r="AFF250" s="48"/>
      <c r="AFG250" s="48"/>
      <c r="AFH250" s="48"/>
      <c r="AFI250" s="48"/>
      <c r="AFJ250" s="48"/>
      <c r="AFK250" s="48"/>
      <c r="AFL250" s="48"/>
      <c r="AFM250" s="48"/>
      <c r="AFN250" s="48"/>
      <c r="AFO250" s="48"/>
      <c r="AFP250" s="48"/>
      <c r="AFQ250" s="48"/>
      <c r="AFR250" s="48"/>
      <c r="AFS250" s="48"/>
      <c r="AFT250" s="48"/>
      <c r="AFU250" s="48"/>
      <c r="AFV250" s="48"/>
      <c r="AFW250" s="48"/>
      <c r="AFX250" s="48"/>
      <c r="AFY250" s="48"/>
      <c r="AFZ250" s="48"/>
      <c r="AGA250" s="48"/>
      <c r="AGB250" s="48"/>
      <c r="AGC250" s="48"/>
      <c r="AGD250" s="48"/>
      <c r="AGE250" s="48"/>
      <c r="AGF250" s="48"/>
      <c r="AGG250" s="48"/>
      <c r="AGH250" s="48"/>
      <c r="AGI250" s="48"/>
      <c r="AGJ250" s="48"/>
      <c r="AGK250" s="48"/>
      <c r="AGL250" s="48"/>
      <c r="AGM250" s="48"/>
      <c r="AGN250" s="48"/>
      <c r="AGO250" s="48"/>
      <c r="AGP250" s="48"/>
      <c r="AGQ250" s="48"/>
      <c r="AGR250" s="48"/>
      <c r="AGS250" s="48"/>
      <c r="AGT250" s="48"/>
      <c r="AGU250" s="48"/>
      <c r="AGV250" s="48"/>
      <c r="AGW250" s="48"/>
      <c r="AGX250" s="48"/>
      <c r="AGY250" s="48"/>
      <c r="AGZ250" s="48"/>
      <c r="AHA250" s="48"/>
      <c r="AHB250" s="48"/>
      <c r="AHC250" s="48"/>
      <c r="AHD250" s="48"/>
      <c r="AHE250" s="48"/>
      <c r="AHF250" s="48"/>
      <c r="AHG250" s="48"/>
      <c r="AHH250" s="48"/>
      <c r="AHI250" s="48"/>
      <c r="AHJ250" s="48"/>
      <c r="AHK250" s="48"/>
      <c r="AHL250" s="48"/>
      <c r="AHM250" s="48"/>
      <c r="AHN250" s="48"/>
      <c r="AHO250" s="48"/>
      <c r="AHP250" s="48"/>
      <c r="AHQ250" s="48"/>
      <c r="AHR250" s="48"/>
      <c r="AHS250" s="48"/>
      <c r="AHT250" s="48"/>
      <c r="AHU250" s="48"/>
      <c r="AHV250" s="48"/>
      <c r="AHW250" s="48"/>
      <c r="AHX250" s="48"/>
      <c r="AHY250" s="48"/>
      <c r="AHZ250" s="48"/>
      <c r="AIA250" s="48"/>
      <c r="AIB250" s="48"/>
      <c r="AIC250" s="48"/>
      <c r="AID250" s="48"/>
      <c r="AIE250" s="48"/>
      <c r="AIF250" s="48"/>
      <c r="AIG250" s="48"/>
      <c r="AIH250" s="48"/>
      <c r="AII250" s="48"/>
      <c r="AIJ250" s="48"/>
      <c r="AIK250" s="48"/>
      <c r="AIL250" s="48"/>
      <c r="AIM250" s="48"/>
      <c r="AIN250" s="48"/>
      <c r="AIO250" s="48"/>
      <c r="AIP250" s="48"/>
      <c r="AIQ250" s="48"/>
      <c r="AIR250" s="48"/>
      <c r="AIS250" s="48"/>
      <c r="AIT250" s="48"/>
      <c r="AIU250" s="48"/>
      <c r="AIV250" s="48"/>
      <c r="AIW250" s="48"/>
      <c r="AIX250" s="48"/>
      <c r="AIY250" s="48"/>
      <c r="AIZ250" s="48"/>
      <c r="AJA250" s="48"/>
      <c r="AJB250" s="48"/>
      <c r="AJC250" s="48"/>
      <c r="AJD250" s="48"/>
      <c r="AJE250" s="48"/>
      <c r="AJF250" s="48"/>
      <c r="AJG250" s="48"/>
      <c r="AJH250" s="48"/>
      <c r="AJI250" s="48"/>
      <c r="AJJ250" s="48"/>
      <c r="AJK250" s="48"/>
      <c r="AJL250" s="48"/>
      <c r="AJM250" s="48"/>
      <c r="AJN250" s="48"/>
      <c r="AJO250" s="48"/>
      <c r="AJP250" s="48"/>
      <c r="AJQ250" s="48"/>
      <c r="AJR250" s="48"/>
      <c r="AJS250" s="48"/>
      <c r="AJT250" s="48"/>
      <c r="AJU250" s="48"/>
      <c r="AJV250" s="48"/>
      <c r="AJW250" s="48"/>
      <c r="AJX250" s="48"/>
      <c r="AJY250" s="48"/>
      <c r="AJZ250" s="48"/>
      <c r="AKA250" s="48"/>
      <c r="AKB250" s="48"/>
      <c r="AKC250" s="48"/>
      <c r="AKD250" s="48"/>
      <c r="AKE250" s="48"/>
      <c r="AKF250" s="48"/>
      <c r="AKG250" s="48"/>
      <c r="AKH250" s="48"/>
      <c r="AKI250" s="48"/>
      <c r="AKJ250" s="48"/>
      <c r="AKK250" s="48"/>
      <c r="AKL250" s="48"/>
      <c r="AKM250" s="48"/>
      <c r="AKN250" s="48"/>
      <c r="AKO250" s="48"/>
      <c r="AKP250" s="48"/>
      <c r="AKQ250" s="48"/>
      <c r="AKR250" s="48"/>
      <c r="AKS250" s="48"/>
      <c r="AKT250" s="48"/>
      <c r="AKU250" s="48"/>
      <c r="AKV250" s="48"/>
      <c r="AKW250" s="48"/>
      <c r="AKX250" s="48"/>
      <c r="AKY250" s="48"/>
      <c r="AKZ250" s="48"/>
      <c r="ALA250" s="48"/>
      <c r="ALB250" s="48"/>
      <c r="ALC250" s="48"/>
      <c r="ALD250" s="48"/>
      <c r="ALE250" s="48"/>
      <c r="ALF250" s="48"/>
      <c r="ALG250" s="48"/>
      <c r="ALH250" s="48"/>
      <c r="ALI250" s="48"/>
      <c r="ALJ250" s="48"/>
      <c r="ALK250" s="48"/>
      <c r="ALL250" s="48"/>
      <c r="ALM250" s="48"/>
      <c r="ALN250" s="48"/>
      <c r="ALO250" s="48"/>
      <c r="ALP250" s="48"/>
      <c r="ALQ250" s="48"/>
      <c r="ALR250" s="48"/>
      <c r="ALS250" s="48"/>
      <c r="ALT250" s="48"/>
      <c r="ALU250" s="48"/>
      <c r="ALV250" s="48"/>
      <c r="ALW250" s="48"/>
      <c r="ALX250" s="48"/>
      <c r="ALY250" s="48"/>
      <c r="ALZ250" s="48"/>
      <c r="AMA250" s="48"/>
      <c r="AMB250" s="48"/>
      <c r="AMC250" s="48"/>
      <c r="AMD250" s="48"/>
      <c r="AME250" s="48"/>
      <c r="AMF250" s="48"/>
      <c r="AMG250" s="48"/>
      <c r="AMH250" s="48"/>
      <c r="AMI250" s="48"/>
      <c r="AMJ250" s="48"/>
      <c r="AMK250" s="48"/>
    </row>
    <row r="251" spans="1:1025" s="80" customFormat="1" x14ac:dyDescent="0.25">
      <c r="A251" s="140" t="s">
        <v>681</v>
      </c>
      <c r="B251" s="54" t="s">
        <v>138</v>
      </c>
      <c r="C251" s="55">
        <v>1.43</v>
      </c>
      <c r="D251" s="55">
        <v>6.12</v>
      </c>
      <c r="E251" s="55">
        <v>18.149999999999999</v>
      </c>
      <c r="F251" s="55">
        <v>133.44399999999999</v>
      </c>
      <c r="G251" s="55">
        <v>37.72</v>
      </c>
      <c r="H251" s="55">
        <v>21.8</v>
      </c>
      <c r="I251" s="55">
        <v>1.43</v>
      </c>
      <c r="J251" s="55">
        <v>0</v>
      </c>
      <c r="K251" s="120" t="s">
        <v>244</v>
      </c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  <c r="BH251" s="48"/>
      <c r="BI251" s="48"/>
      <c r="BJ251" s="48"/>
      <c r="BK251" s="48"/>
      <c r="BL251" s="48"/>
      <c r="BM251" s="48"/>
      <c r="BN251" s="48"/>
      <c r="BO251" s="48"/>
      <c r="BP251" s="48"/>
      <c r="BQ251" s="48"/>
      <c r="BR251" s="48"/>
      <c r="BS251" s="48"/>
      <c r="BT251" s="48"/>
      <c r="BU251" s="48"/>
      <c r="BV251" s="48"/>
      <c r="BW251" s="48"/>
      <c r="BX251" s="48"/>
      <c r="BY251" s="48"/>
      <c r="BZ251" s="48"/>
      <c r="CA251" s="48"/>
      <c r="CB251" s="48"/>
      <c r="CC251" s="48"/>
      <c r="CD251" s="48"/>
      <c r="CE251" s="48"/>
      <c r="CF251" s="48"/>
      <c r="CG251" s="48"/>
      <c r="CH251" s="48"/>
      <c r="CI251" s="48"/>
      <c r="CJ251" s="48"/>
      <c r="CK251" s="48"/>
      <c r="CL251" s="48"/>
      <c r="CM251" s="48"/>
      <c r="CN251" s="48"/>
      <c r="CO251" s="48"/>
      <c r="CP251" s="48"/>
      <c r="CQ251" s="48"/>
      <c r="CR251" s="48"/>
      <c r="CS251" s="48"/>
      <c r="CT251" s="48"/>
      <c r="CU251" s="48"/>
      <c r="CV251" s="48"/>
      <c r="CW251" s="48"/>
      <c r="CX251" s="48"/>
      <c r="CY251" s="48"/>
      <c r="CZ251" s="48"/>
      <c r="DA251" s="48"/>
      <c r="DB251" s="48"/>
      <c r="DC251" s="48"/>
      <c r="DD251" s="48"/>
      <c r="DE251" s="48"/>
      <c r="DF251" s="48"/>
      <c r="DG251" s="48"/>
      <c r="DH251" s="48"/>
      <c r="DI251" s="48"/>
      <c r="DJ251" s="48"/>
      <c r="DK251" s="48"/>
      <c r="DL251" s="48"/>
      <c r="DM251" s="48"/>
      <c r="DN251" s="48"/>
      <c r="DO251" s="48"/>
      <c r="DP251" s="48"/>
      <c r="DQ251" s="48"/>
      <c r="DR251" s="48"/>
      <c r="DS251" s="48"/>
      <c r="DT251" s="48"/>
      <c r="DU251" s="48"/>
      <c r="DV251" s="48"/>
      <c r="DW251" s="48"/>
      <c r="DX251" s="48"/>
      <c r="DY251" s="48"/>
      <c r="DZ251" s="48"/>
      <c r="EA251" s="48"/>
      <c r="EB251" s="48"/>
      <c r="EC251" s="48"/>
      <c r="ED251" s="48"/>
      <c r="EE251" s="48"/>
      <c r="EF251" s="48"/>
      <c r="EG251" s="48"/>
      <c r="EH251" s="48"/>
      <c r="EI251" s="48"/>
      <c r="EJ251" s="48"/>
      <c r="EK251" s="48"/>
      <c r="EL251" s="48"/>
      <c r="EM251" s="48"/>
      <c r="EN251" s="48"/>
      <c r="EO251" s="48"/>
      <c r="EP251" s="48"/>
      <c r="EQ251" s="48"/>
      <c r="ER251" s="48"/>
      <c r="ES251" s="48"/>
      <c r="ET251" s="48"/>
      <c r="EU251" s="48"/>
      <c r="EV251" s="48"/>
      <c r="EW251" s="48"/>
      <c r="EX251" s="48"/>
      <c r="EY251" s="48"/>
      <c r="EZ251" s="48"/>
      <c r="FA251" s="48"/>
      <c r="FB251" s="48"/>
      <c r="FC251" s="48"/>
      <c r="FD251" s="48"/>
      <c r="FE251" s="48"/>
      <c r="FF251" s="48"/>
      <c r="FG251" s="48"/>
      <c r="FH251" s="48"/>
      <c r="FI251" s="48"/>
      <c r="FJ251" s="48"/>
      <c r="FK251" s="48"/>
      <c r="FL251" s="48"/>
      <c r="FM251" s="48"/>
      <c r="FN251" s="48"/>
      <c r="FO251" s="48"/>
      <c r="FP251" s="48"/>
      <c r="FQ251" s="48"/>
      <c r="FR251" s="48"/>
      <c r="FS251" s="48"/>
      <c r="FT251" s="48"/>
      <c r="FU251" s="48"/>
      <c r="FV251" s="48"/>
      <c r="FW251" s="48"/>
      <c r="FX251" s="48"/>
      <c r="FY251" s="48"/>
      <c r="FZ251" s="48"/>
      <c r="GA251" s="48"/>
      <c r="GB251" s="48"/>
      <c r="GC251" s="48"/>
      <c r="GD251" s="48"/>
      <c r="GE251" s="48"/>
      <c r="GF251" s="48"/>
      <c r="GG251" s="48"/>
      <c r="GH251" s="48"/>
      <c r="GI251" s="48"/>
      <c r="GJ251" s="48"/>
      <c r="GK251" s="48"/>
      <c r="GL251" s="48"/>
      <c r="GM251" s="48"/>
      <c r="GN251" s="48"/>
      <c r="GO251" s="48"/>
      <c r="GP251" s="48"/>
      <c r="GQ251" s="48"/>
      <c r="GR251" s="48"/>
      <c r="GS251" s="48"/>
      <c r="GT251" s="48"/>
      <c r="GU251" s="48"/>
      <c r="GV251" s="48"/>
      <c r="GW251" s="48"/>
      <c r="GX251" s="48"/>
      <c r="GY251" s="48"/>
      <c r="GZ251" s="48"/>
      <c r="HA251" s="48"/>
      <c r="HB251" s="48"/>
      <c r="HC251" s="48"/>
      <c r="HD251" s="48"/>
      <c r="HE251" s="48"/>
      <c r="HF251" s="48"/>
      <c r="HG251" s="48"/>
      <c r="HH251" s="48"/>
      <c r="HI251" s="48"/>
      <c r="HJ251" s="48"/>
      <c r="HK251" s="48"/>
      <c r="HL251" s="48"/>
      <c r="HM251" s="48"/>
      <c r="HN251" s="48"/>
      <c r="HO251" s="48"/>
      <c r="HP251" s="48"/>
      <c r="HQ251" s="48"/>
      <c r="HR251" s="48"/>
      <c r="HS251" s="48"/>
      <c r="HT251" s="48"/>
      <c r="HU251" s="48"/>
      <c r="HV251" s="48"/>
      <c r="HW251" s="48"/>
      <c r="HX251" s="48"/>
      <c r="HY251" s="48"/>
      <c r="HZ251" s="48"/>
      <c r="IA251" s="48"/>
      <c r="IB251" s="48"/>
      <c r="IC251" s="48"/>
      <c r="ID251" s="48"/>
      <c r="IE251" s="48"/>
      <c r="IF251" s="48"/>
      <c r="IG251" s="48"/>
      <c r="IH251" s="48"/>
      <c r="II251" s="48"/>
      <c r="IJ251" s="48"/>
      <c r="IK251" s="48"/>
      <c r="IL251" s="48"/>
      <c r="IM251" s="48"/>
      <c r="IN251" s="48"/>
      <c r="IO251" s="48"/>
      <c r="IP251" s="48"/>
      <c r="IQ251" s="48"/>
      <c r="IR251" s="48"/>
      <c r="IS251" s="48"/>
      <c r="IT251" s="48"/>
      <c r="IU251" s="48"/>
      <c r="IV251" s="48"/>
      <c r="IW251" s="48"/>
      <c r="IX251" s="48"/>
      <c r="IY251" s="48"/>
      <c r="IZ251" s="48"/>
      <c r="JA251" s="48"/>
      <c r="JB251" s="48"/>
      <c r="JC251" s="48"/>
      <c r="JD251" s="48"/>
      <c r="JE251" s="48"/>
      <c r="JF251" s="48"/>
      <c r="JG251" s="48"/>
      <c r="JH251" s="48"/>
      <c r="JI251" s="48"/>
      <c r="JJ251" s="48"/>
      <c r="JK251" s="48"/>
      <c r="JL251" s="48"/>
      <c r="JM251" s="48"/>
      <c r="JN251" s="48"/>
      <c r="JO251" s="48"/>
      <c r="JP251" s="48"/>
      <c r="JQ251" s="48"/>
      <c r="JR251" s="48"/>
      <c r="JS251" s="48"/>
      <c r="JT251" s="48"/>
      <c r="JU251" s="48"/>
      <c r="JV251" s="48"/>
      <c r="JW251" s="48"/>
      <c r="JX251" s="48"/>
      <c r="JY251" s="48"/>
      <c r="JZ251" s="48"/>
      <c r="KA251" s="48"/>
      <c r="KB251" s="48"/>
      <c r="KC251" s="48"/>
      <c r="KD251" s="48"/>
      <c r="KE251" s="48"/>
      <c r="KF251" s="48"/>
      <c r="KG251" s="48"/>
      <c r="KH251" s="48"/>
      <c r="KI251" s="48"/>
      <c r="KJ251" s="48"/>
      <c r="KK251" s="48"/>
      <c r="KL251" s="48"/>
      <c r="KM251" s="48"/>
      <c r="KN251" s="48"/>
      <c r="KO251" s="48"/>
      <c r="KP251" s="48"/>
      <c r="KQ251" s="48"/>
      <c r="KR251" s="48"/>
      <c r="KS251" s="48"/>
      <c r="KT251" s="48"/>
      <c r="KU251" s="48"/>
      <c r="KV251" s="48"/>
      <c r="KW251" s="48"/>
      <c r="KX251" s="48"/>
      <c r="KY251" s="48"/>
      <c r="KZ251" s="48"/>
      <c r="LA251" s="48"/>
      <c r="LB251" s="48"/>
      <c r="LC251" s="48"/>
      <c r="LD251" s="48"/>
      <c r="LE251" s="48"/>
      <c r="LF251" s="48"/>
      <c r="LG251" s="48"/>
      <c r="LH251" s="48"/>
      <c r="LI251" s="48"/>
      <c r="LJ251" s="48"/>
      <c r="LK251" s="48"/>
      <c r="LL251" s="48"/>
      <c r="LM251" s="48"/>
      <c r="LN251" s="48"/>
      <c r="LO251" s="48"/>
      <c r="LP251" s="48"/>
      <c r="LQ251" s="48"/>
      <c r="LR251" s="48"/>
      <c r="LS251" s="48"/>
      <c r="LT251" s="48"/>
      <c r="LU251" s="48"/>
      <c r="LV251" s="48"/>
      <c r="LW251" s="48"/>
      <c r="LX251" s="48"/>
      <c r="LY251" s="48"/>
      <c r="LZ251" s="48"/>
      <c r="MA251" s="48"/>
      <c r="MB251" s="48"/>
      <c r="MC251" s="48"/>
      <c r="MD251" s="48"/>
      <c r="ME251" s="48"/>
      <c r="MF251" s="48"/>
      <c r="MG251" s="48"/>
      <c r="MH251" s="48"/>
      <c r="MI251" s="48"/>
      <c r="MJ251" s="48"/>
      <c r="MK251" s="48"/>
      <c r="ML251" s="48"/>
      <c r="MM251" s="48"/>
      <c r="MN251" s="48"/>
      <c r="MO251" s="48"/>
      <c r="MP251" s="48"/>
      <c r="MQ251" s="48"/>
      <c r="MR251" s="48"/>
      <c r="MS251" s="48"/>
      <c r="MT251" s="48"/>
      <c r="MU251" s="48"/>
      <c r="MV251" s="48"/>
      <c r="MW251" s="48"/>
      <c r="MX251" s="48"/>
      <c r="MY251" s="48"/>
      <c r="MZ251" s="48"/>
      <c r="NA251" s="48"/>
      <c r="NB251" s="48"/>
      <c r="NC251" s="48"/>
      <c r="ND251" s="48"/>
      <c r="NE251" s="48"/>
      <c r="NF251" s="48"/>
      <c r="NG251" s="48"/>
      <c r="NH251" s="48"/>
      <c r="NI251" s="48"/>
      <c r="NJ251" s="48"/>
      <c r="NK251" s="48"/>
      <c r="NL251" s="48"/>
      <c r="NM251" s="48"/>
      <c r="NN251" s="48"/>
      <c r="NO251" s="48"/>
      <c r="NP251" s="48"/>
      <c r="NQ251" s="48"/>
      <c r="NR251" s="48"/>
      <c r="NS251" s="48"/>
      <c r="NT251" s="48"/>
      <c r="NU251" s="48"/>
      <c r="NV251" s="48"/>
      <c r="NW251" s="48"/>
      <c r="NX251" s="48"/>
      <c r="NY251" s="48"/>
      <c r="NZ251" s="48"/>
      <c r="OA251" s="48"/>
      <c r="OB251" s="48"/>
      <c r="OC251" s="48"/>
      <c r="OD251" s="48"/>
      <c r="OE251" s="48"/>
      <c r="OF251" s="48"/>
      <c r="OG251" s="48"/>
      <c r="OH251" s="48"/>
      <c r="OI251" s="48"/>
      <c r="OJ251" s="48"/>
      <c r="OK251" s="48"/>
      <c r="OL251" s="48"/>
      <c r="OM251" s="48"/>
      <c r="ON251" s="48"/>
      <c r="OO251" s="48"/>
      <c r="OP251" s="48"/>
      <c r="OQ251" s="48"/>
      <c r="OR251" s="48"/>
      <c r="OS251" s="48"/>
      <c r="OT251" s="48"/>
      <c r="OU251" s="48"/>
      <c r="OV251" s="48"/>
      <c r="OW251" s="48"/>
      <c r="OX251" s="48"/>
      <c r="OY251" s="48"/>
      <c r="OZ251" s="48"/>
      <c r="PA251" s="48"/>
      <c r="PB251" s="48"/>
      <c r="PC251" s="48"/>
      <c r="PD251" s="48"/>
      <c r="PE251" s="48"/>
      <c r="PF251" s="48"/>
      <c r="PG251" s="48"/>
      <c r="PH251" s="48"/>
      <c r="PI251" s="48"/>
      <c r="PJ251" s="48"/>
      <c r="PK251" s="48"/>
      <c r="PL251" s="48"/>
      <c r="PM251" s="48"/>
      <c r="PN251" s="48"/>
      <c r="PO251" s="48"/>
      <c r="PP251" s="48"/>
      <c r="PQ251" s="48"/>
      <c r="PR251" s="48"/>
      <c r="PS251" s="48"/>
      <c r="PT251" s="48"/>
      <c r="PU251" s="48"/>
      <c r="PV251" s="48"/>
      <c r="PW251" s="48"/>
      <c r="PX251" s="48"/>
      <c r="PY251" s="48"/>
      <c r="PZ251" s="48"/>
      <c r="QA251" s="48"/>
      <c r="QB251" s="48"/>
      <c r="QC251" s="48"/>
      <c r="QD251" s="48"/>
      <c r="QE251" s="48"/>
      <c r="QF251" s="48"/>
      <c r="QG251" s="48"/>
      <c r="QH251" s="48"/>
      <c r="QI251" s="48"/>
      <c r="QJ251" s="48"/>
      <c r="QK251" s="48"/>
      <c r="QL251" s="48"/>
      <c r="QM251" s="48"/>
      <c r="QN251" s="48"/>
      <c r="QO251" s="48"/>
      <c r="QP251" s="48"/>
      <c r="QQ251" s="48"/>
      <c r="QR251" s="48"/>
      <c r="QS251" s="48"/>
      <c r="QT251" s="48"/>
      <c r="QU251" s="48"/>
      <c r="QV251" s="48"/>
      <c r="QW251" s="48"/>
      <c r="QX251" s="48"/>
      <c r="QY251" s="48"/>
      <c r="QZ251" s="48"/>
      <c r="RA251" s="48"/>
      <c r="RB251" s="48"/>
      <c r="RC251" s="48"/>
      <c r="RD251" s="48"/>
      <c r="RE251" s="48"/>
      <c r="RF251" s="48"/>
      <c r="RG251" s="48"/>
      <c r="RH251" s="48"/>
      <c r="RI251" s="48"/>
      <c r="RJ251" s="48"/>
      <c r="RK251" s="48"/>
      <c r="RL251" s="48"/>
      <c r="RM251" s="48"/>
      <c r="RN251" s="48"/>
      <c r="RO251" s="48"/>
      <c r="RP251" s="48"/>
      <c r="RQ251" s="48"/>
      <c r="RR251" s="48"/>
      <c r="RS251" s="48"/>
      <c r="RT251" s="48"/>
      <c r="RU251" s="48"/>
      <c r="RV251" s="48"/>
      <c r="RW251" s="48"/>
      <c r="RX251" s="48"/>
      <c r="RY251" s="48"/>
      <c r="RZ251" s="48"/>
      <c r="SA251" s="48"/>
      <c r="SB251" s="48"/>
      <c r="SC251" s="48"/>
      <c r="SD251" s="48"/>
      <c r="SE251" s="48"/>
      <c r="SF251" s="48"/>
      <c r="SG251" s="48"/>
      <c r="SH251" s="48"/>
      <c r="SI251" s="48"/>
      <c r="SJ251" s="48"/>
      <c r="SK251" s="48"/>
      <c r="SL251" s="48"/>
      <c r="SM251" s="48"/>
      <c r="SN251" s="48"/>
      <c r="SO251" s="48"/>
      <c r="SP251" s="48"/>
      <c r="SQ251" s="48"/>
      <c r="SR251" s="48"/>
      <c r="SS251" s="48"/>
      <c r="ST251" s="48"/>
      <c r="SU251" s="48"/>
      <c r="SV251" s="48"/>
      <c r="SW251" s="48"/>
      <c r="SX251" s="48"/>
      <c r="SY251" s="48"/>
      <c r="SZ251" s="48"/>
      <c r="TA251" s="48"/>
      <c r="TB251" s="48"/>
      <c r="TC251" s="48"/>
      <c r="TD251" s="48"/>
      <c r="TE251" s="48"/>
      <c r="TF251" s="48"/>
      <c r="TG251" s="48"/>
      <c r="TH251" s="48"/>
      <c r="TI251" s="48"/>
      <c r="TJ251" s="48"/>
      <c r="TK251" s="48"/>
      <c r="TL251" s="48"/>
      <c r="TM251" s="48"/>
      <c r="TN251" s="48"/>
      <c r="TO251" s="48"/>
      <c r="TP251" s="48"/>
      <c r="TQ251" s="48"/>
      <c r="TR251" s="48"/>
      <c r="TS251" s="48"/>
      <c r="TT251" s="48"/>
      <c r="TU251" s="48"/>
      <c r="TV251" s="48"/>
      <c r="TW251" s="48"/>
      <c r="TX251" s="48"/>
      <c r="TY251" s="48"/>
      <c r="TZ251" s="48"/>
      <c r="UA251" s="48"/>
      <c r="UB251" s="48"/>
      <c r="UC251" s="48"/>
      <c r="UD251" s="48"/>
      <c r="UE251" s="48"/>
      <c r="UF251" s="48"/>
      <c r="UG251" s="48"/>
      <c r="UH251" s="48"/>
      <c r="UI251" s="48"/>
      <c r="UJ251" s="48"/>
      <c r="UK251" s="48"/>
      <c r="UL251" s="48"/>
      <c r="UM251" s="48"/>
      <c r="UN251" s="48"/>
      <c r="UO251" s="48"/>
      <c r="UP251" s="48"/>
      <c r="UQ251" s="48"/>
      <c r="UR251" s="48"/>
      <c r="US251" s="48"/>
      <c r="UT251" s="48"/>
      <c r="UU251" s="48"/>
      <c r="UV251" s="48"/>
      <c r="UW251" s="48"/>
      <c r="UX251" s="48"/>
      <c r="UY251" s="48"/>
      <c r="UZ251" s="48"/>
      <c r="VA251" s="48"/>
      <c r="VB251" s="48"/>
      <c r="VC251" s="48"/>
      <c r="VD251" s="48"/>
      <c r="VE251" s="48"/>
      <c r="VF251" s="48"/>
      <c r="VG251" s="48"/>
      <c r="VH251" s="48"/>
      <c r="VI251" s="48"/>
      <c r="VJ251" s="48"/>
      <c r="VK251" s="48"/>
      <c r="VL251" s="48"/>
      <c r="VM251" s="48"/>
      <c r="VN251" s="48"/>
      <c r="VO251" s="48"/>
      <c r="VP251" s="48"/>
      <c r="VQ251" s="48"/>
      <c r="VR251" s="48"/>
      <c r="VS251" s="48"/>
      <c r="VT251" s="48"/>
      <c r="VU251" s="48"/>
      <c r="VV251" s="48"/>
      <c r="VW251" s="48"/>
      <c r="VX251" s="48"/>
      <c r="VY251" s="48"/>
      <c r="VZ251" s="48"/>
      <c r="WA251" s="48"/>
      <c r="WB251" s="48"/>
      <c r="WC251" s="48"/>
      <c r="WD251" s="48"/>
      <c r="WE251" s="48"/>
      <c r="WF251" s="48"/>
      <c r="WG251" s="48"/>
      <c r="WH251" s="48"/>
      <c r="WI251" s="48"/>
      <c r="WJ251" s="48"/>
      <c r="WK251" s="48"/>
      <c r="WL251" s="48"/>
      <c r="WM251" s="48"/>
      <c r="WN251" s="48"/>
      <c r="WO251" s="48"/>
      <c r="WP251" s="48"/>
      <c r="WQ251" s="48"/>
      <c r="WR251" s="48"/>
      <c r="WS251" s="48"/>
      <c r="WT251" s="48"/>
      <c r="WU251" s="48"/>
      <c r="WV251" s="48"/>
      <c r="WW251" s="48"/>
      <c r="WX251" s="48"/>
      <c r="WY251" s="48"/>
      <c r="WZ251" s="48"/>
      <c r="XA251" s="48"/>
      <c r="XB251" s="48"/>
      <c r="XC251" s="48"/>
      <c r="XD251" s="48"/>
      <c r="XE251" s="48"/>
      <c r="XF251" s="48"/>
      <c r="XG251" s="48"/>
      <c r="XH251" s="48"/>
      <c r="XI251" s="48"/>
      <c r="XJ251" s="48"/>
      <c r="XK251" s="48"/>
      <c r="XL251" s="48"/>
      <c r="XM251" s="48"/>
      <c r="XN251" s="48"/>
      <c r="XO251" s="48"/>
      <c r="XP251" s="48"/>
      <c r="XQ251" s="48"/>
      <c r="XR251" s="48"/>
      <c r="XS251" s="48"/>
      <c r="XT251" s="48"/>
      <c r="XU251" s="48"/>
      <c r="XV251" s="48"/>
      <c r="XW251" s="48"/>
      <c r="XX251" s="48"/>
      <c r="XY251" s="48"/>
      <c r="XZ251" s="48"/>
      <c r="YA251" s="48"/>
      <c r="YB251" s="48"/>
      <c r="YC251" s="48"/>
      <c r="YD251" s="48"/>
      <c r="YE251" s="48"/>
      <c r="YF251" s="48"/>
      <c r="YG251" s="48"/>
      <c r="YH251" s="48"/>
      <c r="YI251" s="48"/>
      <c r="YJ251" s="48"/>
      <c r="YK251" s="48"/>
      <c r="YL251" s="48"/>
      <c r="YM251" s="48"/>
      <c r="YN251" s="48"/>
      <c r="YO251" s="48"/>
      <c r="YP251" s="48"/>
      <c r="YQ251" s="48"/>
      <c r="YR251" s="48"/>
      <c r="YS251" s="48"/>
      <c r="YT251" s="48"/>
      <c r="YU251" s="48"/>
      <c r="YV251" s="48"/>
      <c r="YW251" s="48"/>
      <c r="YX251" s="48"/>
      <c r="YY251" s="48"/>
      <c r="YZ251" s="48"/>
      <c r="ZA251" s="48"/>
      <c r="ZB251" s="48"/>
      <c r="ZC251" s="48"/>
      <c r="ZD251" s="48"/>
      <c r="ZE251" s="48"/>
      <c r="ZF251" s="48"/>
      <c r="ZG251" s="48"/>
      <c r="ZH251" s="48"/>
      <c r="ZI251" s="48"/>
      <c r="ZJ251" s="48"/>
      <c r="ZK251" s="48"/>
      <c r="ZL251" s="48"/>
      <c r="ZM251" s="48"/>
      <c r="ZN251" s="48"/>
      <c r="ZO251" s="48"/>
      <c r="ZP251" s="48"/>
      <c r="ZQ251" s="48"/>
      <c r="ZR251" s="48"/>
      <c r="ZS251" s="48"/>
      <c r="ZT251" s="48"/>
      <c r="ZU251" s="48"/>
      <c r="ZV251" s="48"/>
      <c r="ZW251" s="48"/>
      <c r="ZX251" s="48"/>
      <c r="ZY251" s="48"/>
      <c r="ZZ251" s="48"/>
      <c r="AAA251" s="48"/>
      <c r="AAB251" s="48"/>
      <c r="AAC251" s="48"/>
      <c r="AAD251" s="48"/>
      <c r="AAE251" s="48"/>
      <c r="AAF251" s="48"/>
      <c r="AAG251" s="48"/>
      <c r="AAH251" s="48"/>
      <c r="AAI251" s="48"/>
      <c r="AAJ251" s="48"/>
      <c r="AAK251" s="48"/>
      <c r="AAL251" s="48"/>
      <c r="AAM251" s="48"/>
      <c r="AAN251" s="48"/>
      <c r="AAO251" s="48"/>
      <c r="AAP251" s="48"/>
      <c r="AAQ251" s="48"/>
      <c r="AAR251" s="48"/>
      <c r="AAS251" s="48"/>
      <c r="AAT251" s="48"/>
      <c r="AAU251" s="48"/>
      <c r="AAV251" s="48"/>
      <c r="AAW251" s="48"/>
      <c r="AAX251" s="48"/>
      <c r="AAY251" s="48"/>
      <c r="AAZ251" s="48"/>
      <c r="ABA251" s="48"/>
      <c r="ABB251" s="48"/>
      <c r="ABC251" s="48"/>
      <c r="ABD251" s="48"/>
      <c r="ABE251" s="48"/>
      <c r="ABF251" s="48"/>
      <c r="ABG251" s="48"/>
      <c r="ABH251" s="48"/>
      <c r="ABI251" s="48"/>
      <c r="ABJ251" s="48"/>
      <c r="ABK251" s="48"/>
      <c r="ABL251" s="48"/>
      <c r="ABM251" s="48"/>
      <c r="ABN251" s="48"/>
      <c r="ABO251" s="48"/>
      <c r="ABP251" s="48"/>
      <c r="ABQ251" s="48"/>
      <c r="ABR251" s="48"/>
      <c r="ABS251" s="48"/>
      <c r="ABT251" s="48"/>
      <c r="ABU251" s="48"/>
      <c r="ABV251" s="48"/>
      <c r="ABW251" s="48"/>
      <c r="ABX251" s="48"/>
      <c r="ABY251" s="48"/>
      <c r="ABZ251" s="48"/>
      <c r="ACA251" s="48"/>
      <c r="ACB251" s="48"/>
      <c r="ACC251" s="48"/>
      <c r="ACD251" s="48"/>
      <c r="ACE251" s="48"/>
      <c r="ACF251" s="48"/>
      <c r="ACG251" s="48"/>
      <c r="ACH251" s="48"/>
      <c r="ACI251" s="48"/>
      <c r="ACJ251" s="48"/>
      <c r="ACK251" s="48"/>
      <c r="ACL251" s="48"/>
      <c r="ACM251" s="48"/>
      <c r="ACN251" s="48"/>
      <c r="ACO251" s="48"/>
      <c r="ACP251" s="48"/>
      <c r="ACQ251" s="48"/>
      <c r="ACR251" s="48"/>
      <c r="ACS251" s="48"/>
      <c r="ACT251" s="48"/>
      <c r="ACU251" s="48"/>
      <c r="ACV251" s="48"/>
      <c r="ACW251" s="48"/>
      <c r="ACX251" s="48"/>
      <c r="ACY251" s="48"/>
      <c r="ACZ251" s="48"/>
      <c r="ADA251" s="48"/>
      <c r="ADB251" s="48"/>
      <c r="ADC251" s="48"/>
      <c r="ADD251" s="48"/>
      <c r="ADE251" s="48"/>
      <c r="ADF251" s="48"/>
      <c r="ADG251" s="48"/>
      <c r="ADH251" s="48"/>
      <c r="ADI251" s="48"/>
      <c r="ADJ251" s="48"/>
      <c r="ADK251" s="48"/>
      <c r="ADL251" s="48"/>
      <c r="ADM251" s="48"/>
      <c r="ADN251" s="48"/>
      <c r="ADO251" s="48"/>
      <c r="ADP251" s="48"/>
      <c r="ADQ251" s="48"/>
      <c r="ADR251" s="48"/>
      <c r="ADS251" s="48"/>
      <c r="ADT251" s="48"/>
      <c r="ADU251" s="48"/>
      <c r="ADV251" s="48"/>
      <c r="ADW251" s="48"/>
      <c r="ADX251" s="48"/>
      <c r="ADY251" s="48"/>
      <c r="ADZ251" s="48"/>
      <c r="AEA251" s="48"/>
      <c r="AEB251" s="48"/>
      <c r="AEC251" s="48"/>
      <c r="AED251" s="48"/>
      <c r="AEE251" s="48"/>
      <c r="AEF251" s="48"/>
      <c r="AEG251" s="48"/>
      <c r="AEH251" s="48"/>
      <c r="AEI251" s="48"/>
      <c r="AEJ251" s="48"/>
      <c r="AEK251" s="48"/>
      <c r="AEL251" s="48"/>
      <c r="AEM251" s="48"/>
      <c r="AEN251" s="48"/>
      <c r="AEO251" s="48"/>
      <c r="AEP251" s="48"/>
      <c r="AEQ251" s="48"/>
      <c r="AER251" s="48"/>
      <c r="AES251" s="48"/>
      <c r="AET251" s="48"/>
      <c r="AEU251" s="48"/>
      <c r="AEV251" s="48"/>
      <c r="AEW251" s="48"/>
      <c r="AEX251" s="48"/>
      <c r="AEY251" s="48"/>
      <c r="AEZ251" s="48"/>
      <c r="AFA251" s="48"/>
      <c r="AFB251" s="48"/>
      <c r="AFC251" s="48"/>
      <c r="AFD251" s="48"/>
      <c r="AFE251" s="48"/>
      <c r="AFF251" s="48"/>
      <c r="AFG251" s="48"/>
      <c r="AFH251" s="48"/>
      <c r="AFI251" s="48"/>
      <c r="AFJ251" s="48"/>
      <c r="AFK251" s="48"/>
      <c r="AFL251" s="48"/>
      <c r="AFM251" s="48"/>
      <c r="AFN251" s="48"/>
      <c r="AFO251" s="48"/>
      <c r="AFP251" s="48"/>
      <c r="AFQ251" s="48"/>
      <c r="AFR251" s="48"/>
      <c r="AFS251" s="48"/>
      <c r="AFT251" s="48"/>
      <c r="AFU251" s="48"/>
      <c r="AFV251" s="48"/>
      <c r="AFW251" s="48"/>
      <c r="AFX251" s="48"/>
      <c r="AFY251" s="48"/>
      <c r="AFZ251" s="48"/>
      <c r="AGA251" s="48"/>
      <c r="AGB251" s="48"/>
      <c r="AGC251" s="48"/>
      <c r="AGD251" s="48"/>
      <c r="AGE251" s="48"/>
      <c r="AGF251" s="48"/>
      <c r="AGG251" s="48"/>
      <c r="AGH251" s="48"/>
      <c r="AGI251" s="48"/>
      <c r="AGJ251" s="48"/>
      <c r="AGK251" s="48"/>
      <c r="AGL251" s="48"/>
      <c r="AGM251" s="48"/>
      <c r="AGN251" s="48"/>
      <c r="AGO251" s="48"/>
      <c r="AGP251" s="48"/>
      <c r="AGQ251" s="48"/>
      <c r="AGR251" s="48"/>
      <c r="AGS251" s="48"/>
      <c r="AGT251" s="48"/>
      <c r="AGU251" s="48"/>
      <c r="AGV251" s="48"/>
      <c r="AGW251" s="48"/>
      <c r="AGX251" s="48"/>
      <c r="AGY251" s="48"/>
      <c r="AGZ251" s="48"/>
      <c r="AHA251" s="48"/>
      <c r="AHB251" s="48"/>
      <c r="AHC251" s="48"/>
      <c r="AHD251" s="48"/>
      <c r="AHE251" s="48"/>
      <c r="AHF251" s="48"/>
      <c r="AHG251" s="48"/>
      <c r="AHH251" s="48"/>
      <c r="AHI251" s="48"/>
      <c r="AHJ251" s="48"/>
      <c r="AHK251" s="48"/>
      <c r="AHL251" s="48"/>
      <c r="AHM251" s="48"/>
      <c r="AHN251" s="48"/>
      <c r="AHO251" s="48"/>
      <c r="AHP251" s="48"/>
      <c r="AHQ251" s="48"/>
      <c r="AHR251" s="48"/>
      <c r="AHS251" s="48"/>
      <c r="AHT251" s="48"/>
      <c r="AHU251" s="48"/>
      <c r="AHV251" s="48"/>
      <c r="AHW251" s="48"/>
      <c r="AHX251" s="48"/>
      <c r="AHY251" s="48"/>
      <c r="AHZ251" s="48"/>
      <c r="AIA251" s="48"/>
      <c r="AIB251" s="48"/>
      <c r="AIC251" s="48"/>
      <c r="AID251" s="48"/>
      <c r="AIE251" s="48"/>
      <c r="AIF251" s="48"/>
      <c r="AIG251" s="48"/>
      <c r="AIH251" s="48"/>
      <c r="AII251" s="48"/>
      <c r="AIJ251" s="48"/>
      <c r="AIK251" s="48"/>
      <c r="AIL251" s="48"/>
      <c r="AIM251" s="48"/>
      <c r="AIN251" s="48"/>
      <c r="AIO251" s="48"/>
      <c r="AIP251" s="48"/>
      <c r="AIQ251" s="48"/>
      <c r="AIR251" s="48"/>
      <c r="AIS251" s="48"/>
      <c r="AIT251" s="48"/>
      <c r="AIU251" s="48"/>
      <c r="AIV251" s="48"/>
      <c r="AIW251" s="48"/>
      <c r="AIX251" s="48"/>
      <c r="AIY251" s="48"/>
      <c r="AIZ251" s="48"/>
      <c r="AJA251" s="48"/>
      <c r="AJB251" s="48"/>
      <c r="AJC251" s="48"/>
      <c r="AJD251" s="48"/>
      <c r="AJE251" s="48"/>
      <c r="AJF251" s="48"/>
      <c r="AJG251" s="48"/>
      <c r="AJH251" s="48"/>
      <c r="AJI251" s="48"/>
      <c r="AJJ251" s="48"/>
      <c r="AJK251" s="48"/>
      <c r="AJL251" s="48"/>
      <c r="AJM251" s="48"/>
      <c r="AJN251" s="48"/>
      <c r="AJO251" s="48"/>
      <c r="AJP251" s="48"/>
      <c r="AJQ251" s="48"/>
      <c r="AJR251" s="48"/>
      <c r="AJS251" s="48"/>
      <c r="AJT251" s="48"/>
      <c r="AJU251" s="48"/>
      <c r="AJV251" s="48"/>
      <c r="AJW251" s="48"/>
      <c r="AJX251" s="48"/>
      <c r="AJY251" s="48"/>
      <c r="AJZ251" s="48"/>
      <c r="AKA251" s="48"/>
      <c r="AKB251" s="48"/>
      <c r="AKC251" s="48"/>
      <c r="AKD251" s="48"/>
      <c r="AKE251" s="48"/>
      <c r="AKF251" s="48"/>
      <c r="AKG251" s="48"/>
      <c r="AKH251" s="48"/>
      <c r="AKI251" s="48"/>
      <c r="AKJ251" s="48"/>
      <c r="AKK251" s="48"/>
      <c r="AKL251" s="48"/>
      <c r="AKM251" s="48"/>
      <c r="AKN251" s="48"/>
      <c r="AKO251" s="48"/>
      <c r="AKP251" s="48"/>
      <c r="AKQ251" s="48"/>
      <c r="AKR251" s="48"/>
      <c r="AKS251" s="48"/>
      <c r="AKT251" s="48"/>
      <c r="AKU251" s="48"/>
      <c r="AKV251" s="48"/>
      <c r="AKW251" s="48"/>
      <c r="AKX251" s="48"/>
      <c r="AKY251" s="48"/>
      <c r="AKZ251" s="48"/>
      <c r="ALA251" s="48"/>
      <c r="ALB251" s="48"/>
      <c r="ALC251" s="48"/>
      <c r="ALD251" s="48"/>
      <c r="ALE251" s="48"/>
      <c r="ALF251" s="48"/>
      <c r="ALG251" s="48"/>
      <c r="ALH251" s="48"/>
      <c r="ALI251" s="48"/>
      <c r="ALJ251" s="48"/>
      <c r="ALK251" s="48"/>
      <c r="ALL251" s="48"/>
      <c r="ALM251" s="48"/>
      <c r="ALN251" s="48"/>
      <c r="ALO251" s="48"/>
      <c r="ALP251" s="48"/>
      <c r="ALQ251" s="48"/>
      <c r="ALR251" s="48"/>
      <c r="ALS251" s="48"/>
      <c r="ALT251" s="48"/>
      <c r="ALU251" s="48"/>
      <c r="ALV251" s="48"/>
      <c r="ALW251" s="48"/>
      <c r="ALX251" s="48"/>
      <c r="ALY251" s="48"/>
      <c r="ALZ251" s="48"/>
      <c r="AMA251" s="48"/>
      <c r="AMB251" s="48"/>
      <c r="AMC251" s="48"/>
      <c r="AMD251" s="48"/>
      <c r="AME251" s="48"/>
      <c r="AMF251" s="48"/>
      <c r="AMG251" s="48"/>
      <c r="AMH251" s="48"/>
      <c r="AMI251" s="48"/>
      <c r="AMJ251" s="48"/>
      <c r="AMK251" s="48"/>
    </row>
    <row r="252" spans="1:1025" s="80" customFormat="1" x14ac:dyDescent="0.25">
      <c r="A252" s="140" t="s">
        <v>683</v>
      </c>
      <c r="B252" s="54" t="s">
        <v>138</v>
      </c>
      <c r="C252" s="55">
        <v>28.25</v>
      </c>
      <c r="D252" s="55">
        <v>12.25</v>
      </c>
      <c r="E252" s="55">
        <v>19.75</v>
      </c>
      <c r="F252" s="55">
        <v>305</v>
      </c>
      <c r="G252" s="55">
        <v>39.362499999999997</v>
      </c>
      <c r="H252" s="55">
        <v>55.4375</v>
      </c>
      <c r="I252" s="55">
        <v>2.7749999999999999</v>
      </c>
      <c r="J252" s="55">
        <v>11.3375</v>
      </c>
      <c r="K252" s="120" t="s">
        <v>304</v>
      </c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  <c r="BH252" s="48"/>
      <c r="BI252" s="48"/>
      <c r="BJ252" s="48"/>
      <c r="BK252" s="48"/>
      <c r="BL252" s="48"/>
      <c r="BM252" s="48"/>
      <c r="BN252" s="48"/>
      <c r="BO252" s="48"/>
      <c r="BP252" s="48"/>
      <c r="BQ252" s="48"/>
      <c r="BR252" s="48"/>
      <c r="BS252" s="48"/>
      <c r="BT252" s="48"/>
      <c r="BU252" s="48"/>
      <c r="BV252" s="48"/>
      <c r="BW252" s="48"/>
      <c r="BX252" s="48"/>
      <c r="BY252" s="48"/>
      <c r="BZ252" s="48"/>
      <c r="CA252" s="48"/>
      <c r="CB252" s="48"/>
      <c r="CC252" s="48"/>
      <c r="CD252" s="48"/>
      <c r="CE252" s="48"/>
      <c r="CF252" s="48"/>
      <c r="CG252" s="48"/>
      <c r="CH252" s="48"/>
      <c r="CI252" s="48"/>
      <c r="CJ252" s="48"/>
      <c r="CK252" s="48"/>
      <c r="CL252" s="48"/>
      <c r="CM252" s="48"/>
      <c r="CN252" s="48"/>
      <c r="CO252" s="48"/>
      <c r="CP252" s="48"/>
      <c r="CQ252" s="48"/>
      <c r="CR252" s="48"/>
      <c r="CS252" s="48"/>
      <c r="CT252" s="48"/>
      <c r="CU252" s="48"/>
      <c r="CV252" s="48"/>
      <c r="CW252" s="48"/>
      <c r="CX252" s="48"/>
      <c r="CY252" s="48"/>
      <c r="CZ252" s="48"/>
      <c r="DA252" s="48"/>
      <c r="DB252" s="48"/>
      <c r="DC252" s="48"/>
      <c r="DD252" s="48"/>
      <c r="DE252" s="48"/>
      <c r="DF252" s="48"/>
      <c r="DG252" s="48"/>
      <c r="DH252" s="48"/>
      <c r="DI252" s="48"/>
      <c r="DJ252" s="48"/>
      <c r="DK252" s="48"/>
      <c r="DL252" s="48"/>
      <c r="DM252" s="48"/>
      <c r="DN252" s="48"/>
      <c r="DO252" s="48"/>
      <c r="DP252" s="48"/>
      <c r="DQ252" s="48"/>
      <c r="DR252" s="48"/>
      <c r="DS252" s="48"/>
      <c r="DT252" s="48"/>
      <c r="DU252" s="48"/>
      <c r="DV252" s="48"/>
      <c r="DW252" s="48"/>
      <c r="DX252" s="48"/>
      <c r="DY252" s="48"/>
      <c r="DZ252" s="48"/>
      <c r="EA252" s="48"/>
      <c r="EB252" s="48"/>
      <c r="EC252" s="48"/>
      <c r="ED252" s="48"/>
      <c r="EE252" s="48"/>
      <c r="EF252" s="48"/>
      <c r="EG252" s="48"/>
      <c r="EH252" s="48"/>
      <c r="EI252" s="48"/>
      <c r="EJ252" s="48"/>
      <c r="EK252" s="48"/>
      <c r="EL252" s="48"/>
      <c r="EM252" s="48"/>
      <c r="EN252" s="48"/>
      <c r="EO252" s="48"/>
      <c r="EP252" s="48"/>
      <c r="EQ252" s="48"/>
      <c r="ER252" s="48"/>
      <c r="ES252" s="48"/>
      <c r="ET252" s="48"/>
      <c r="EU252" s="48"/>
      <c r="EV252" s="48"/>
      <c r="EW252" s="48"/>
      <c r="EX252" s="48"/>
      <c r="EY252" s="48"/>
      <c r="EZ252" s="48"/>
      <c r="FA252" s="48"/>
      <c r="FB252" s="48"/>
      <c r="FC252" s="48"/>
      <c r="FD252" s="48"/>
      <c r="FE252" s="48"/>
      <c r="FF252" s="48"/>
      <c r="FG252" s="48"/>
      <c r="FH252" s="48"/>
      <c r="FI252" s="48"/>
      <c r="FJ252" s="48"/>
      <c r="FK252" s="48"/>
      <c r="FL252" s="48"/>
      <c r="FM252" s="48"/>
      <c r="FN252" s="48"/>
      <c r="FO252" s="48"/>
      <c r="FP252" s="48"/>
      <c r="FQ252" s="48"/>
      <c r="FR252" s="48"/>
      <c r="FS252" s="48"/>
      <c r="FT252" s="48"/>
      <c r="FU252" s="48"/>
      <c r="FV252" s="48"/>
      <c r="FW252" s="48"/>
      <c r="FX252" s="48"/>
      <c r="FY252" s="48"/>
      <c r="FZ252" s="48"/>
      <c r="GA252" s="48"/>
      <c r="GB252" s="48"/>
      <c r="GC252" s="48"/>
      <c r="GD252" s="48"/>
      <c r="GE252" s="48"/>
      <c r="GF252" s="48"/>
      <c r="GG252" s="48"/>
      <c r="GH252" s="48"/>
      <c r="GI252" s="48"/>
      <c r="GJ252" s="48"/>
      <c r="GK252" s="48"/>
      <c r="GL252" s="48"/>
      <c r="GM252" s="48"/>
      <c r="GN252" s="48"/>
      <c r="GO252" s="48"/>
      <c r="GP252" s="48"/>
      <c r="GQ252" s="48"/>
      <c r="GR252" s="48"/>
      <c r="GS252" s="48"/>
      <c r="GT252" s="48"/>
      <c r="GU252" s="48"/>
      <c r="GV252" s="48"/>
      <c r="GW252" s="48"/>
      <c r="GX252" s="48"/>
      <c r="GY252" s="48"/>
      <c r="GZ252" s="48"/>
      <c r="HA252" s="48"/>
      <c r="HB252" s="48"/>
      <c r="HC252" s="48"/>
      <c r="HD252" s="48"/>
      <c r="HE252" s="48"/>
      <c r="HF252" s="48"/>
      <c r="HG252" s="48"/>
      <c r="HH252" s="48"/>
      <c r="HI252" s="48"/>
      <c r="HJ252" s="48"/>
      <c r="HK252" s="48"/>
      <c r="HL252" s="48"/>
      <c r="HM252" s="48"/>
      <c r="HN252" s="48"/>
      <c r="HO252" s="48"/>
      <c r="HP252" s="48"/>
      <c r="HQ252" s="48"/>
      <c r="HR252" s="48"/>
      <c r="HS252" s="48"/>
      <c r="HT252" s="48"/>
      <c r="HU252" s="48"/>
      <c r="HV252" s="48"/>
      <c r="HW252" s="48"/>
      <c r="HX252" s="48"/>
      <c r="HY252" s="48"/>
      <c r="HZ252" s="48"/>
      <c r="IA252" s="48"/>
      <c r="IB252" s="48"/>
      <c r="IC252" s="48"/>
      <c r="ID252" s="48"/>
      <c r="IE252" s="48"/>
      <c r="IF252" s="48"/>
      <c r="IG252" s="48"/>
      <c r="IH252" s="48"/>
      <c r="II252" s="48"/>
      <c r="IJ252" s="48"/>
      <c r="IK252" s="48"/>
      <c r="IL252" s="48"/>
      <c r="IM252" s="48"/>
      <c r="IN252" s="48"/>
      <c r="IO252" s="48"/>
      <c r="IP252" s="48"/>
      <c r="IQ252" s="48"/>
      <c r="IR252" s="48"/>
      <c r="IS252" s="48"/>
      <c r="IT252" s="48"/>
      <c r="IU252" s="48"/>
      <c r="IV252" s="48"/>
      <c r="IW252" s="48"/>
      <c r="IX252" s="48"/>
      <c r="IY252" s="48"/>
      <c r="IZ252" s="48"/>
      <c r="JA252" s="48"/>
      <c r="JB252" s="48"/>
      <c r="JC252" s="48"/>
      <c r="JD252" s="48"/>
      <c r="JE252" s="48"/>
      <c r="JF252" s="48"/>
      <c r="JG252" s="48"/>
      <c r="JH252" s="48"/>
      <c r="JI252" s="48"/>
      <c r="JJ252" s="48"/>
      <c r="JK252" s="48"/>
      <c r="JL252" s="48"/>
      <c r="JM252" s="48"/>
      <c r="JN252" s="48"/>
      <c r="JO252" s="48"/>
      <c r="JP252" s="48"/>
      <c r="JQ252" s="48"/>
      <c r="JR252" s="48"/>
      <c r="JS252" s="48"/>
      <c r="JT252" s="48"/>
      <c r="JU252" s="48"/>
      <c r="JV252" s="48"/>
      <c r="JW252" s="48"/>
      <c r="JX252" s="48"/>
      <c r="JY252" s="48"/>
      <c r="JZ252" s="48"/>
      <c r="KA252" s="48"/>
      <c r="KB252" s="48"/>
      <c r="KC252" s="48"/>
      <c r="KD252" s="48"/>
      <c r="KE252" s="48"/>
      <c r="KF252" s="48"/>
      <c r="KG252" s="48"/>
      <c r="KH252" s="48"/>
      <c r="KI252" s="48"/>
      <c r="KJ252" s="48"/>
      <c r="KK252" s="48"/>
      <c r="KL252" s="48"/>
      <c r="KM252" s="48"/>
      <c r="KN252" s="48"/>
      <c r="KO252" s="48"/>
      <c r="KP252" s="48"/>
      <c r="KQ252" s="48"/>
      <c r="KR252" s="48"/>
      <c r="KS252" s="48"/>
      <c r="KT252" s="48"/>
      <c r="KU252" s="48"/>
      <c r="KV252" s="48"/>
      <c r="KW252" s="48"/>
      <c r="KX252" s="48"/>
      <c r="KY252" s="48"/>
      <c r="KZ252" s="48"/>
      <c r="LA252" s="48"/>
      <c r="LB252" s="48"/>
      <c r="LC252" s="48"/>
      <c r="LD252" s="48"/>
      <c r="LE252" s="48"/>
      <c r="LF252" s="48"/>
      <c r="LG252" s="48"/>
      <c r="LH252" s="48"/>
      <c r="LI252" s="48"/>
      <c r="LJ252" s="48"/>
      <c r="LK252" s="48"/>
      <c r="LL252" s="48"/>
      <c r="LM252" s="48"/>
      <c r="LN252" s="48"/>
      <c r="LO252" s="48"/>
      <c r="LP252" s="48"/>
      <c r="LQ252" s="48"/>
      <c r="LR252" s="48"/>
      <c r="LS252" s="48"/>
      <c r="LT252" s="48"/>
      <c r="LU252" s="48"/>
      <c r="LV252" s="48"/>
      <c r="LW252" s="48"/>
      <c r="LX252" s="48"/>
      <c r="LY252" s="48"/>
      <c r="LZ252" s="48"/>
      <c r="MA252" s="48"/>
      <c r="MB252" s="48"/>
      <c r="MC252" s="48"/>
      <c r="MD252" s="48"/>
      <c r="ME252" s="48"/>
      <c r="MF252" s="48"/>
      <c r="MG252" s="48"/>
      <c r="MH252" s="48"/>
      <c r="MI252" s="48"/>
      <c r="MJ252" s="48"/>
      <c r="MK252" s="48"/>
      <c r="ML252" s="48"/>
      <c r="MM252" s="48"/>
      <c r="MN252" s="48"/>
      <c r="MO252" s="48"/>
      <c r="MP252" s="48"/>
      <c r="MQ252" s="48"/>
      <c r="MR252" s="48"/>
      <c r="MS252" s="48"/>
      <c r="MT252" s="48"/>
      <c r="MU252" s="48"/>
      <c r="MV252" s="48"/>
      <c r="MW252" s="48"/>
      <c r="MX252" s="48"/>
      <c r="MY252" s="48"/>
      <c r="MZ252" s="48"/>
      <c r="NA252" s="48"/>
      <c r="NB252" s="48"/>
      <c r="NC252" s="48"/>
      <c r="ND252" s="48"/>
      <c r="NE252" s="48"/>
      <c r="NF252" s="48"/>
      <c r="NG252" s="48"/>
      <c r="NH252" s="48"/>
      <c r="NI252" s="48"/>
      <c r="NJ252" s="48"/>
      <c r="NK252" s="48"/>
      <c r="NL252" s="48"/>
      <c r="NM252" s="48"/>
      <c r="NN252" s="48"/>
      <c r="NO252" s="48"/>
      <c r="NP252" s="48"/>
      <c r="NQ252" s="48"/>
      <c r="NR252" s="48"/>
      <c r="NS252" s="48"/>
      <c r="NT252" s="48"/>
      <c r="NU252" s="48"/>
      <c r="NV252" s="48"/>
      <c r="NW252" s="48"/>
      <c r="NX252" s="48"/>
      <c r="NY252" s="48"/>
      <c r="NZ252" s="48"/>
      <c r="OA252" s="48"/>
      <c r="OB252" s="48"/>
      <c r="OC252" s="48"/>
      <c r="OD252" s="48"/>
      <c r="OE252" s="48"/>
      <c r="OF252" s="48"/>
      <c r="OG252" s="48"/>
      <c r="OH252" s="48"/>
      <c r="OI252" s="48"/>
      <c r="OJ252" s="48"/>
      <c r="OK252" s="48"/>
      <c r="OL252" s="48"/>
      <c r="OM252" s="48"/>
      <c r="ON252" s="48"/>
      <c r="OO252" s="48"/>
      <c r="OP252" s="48"/>
      <c r="OQ252" s="48"/>
      <c r="OR252" s="48"/>
      <c r="OS252" s="48"/>
      <c r="OT252" s="48"/>
      <c r="OU252" s="48"/>
      <c r="OV252" s="48"/>
      <c r="OW252" s="48"/>
      <c r="OX252" s="48"/>
      <c r="OY252" s="48"/>
      <c r="OZ252" s="48"/>
      <c r="PA252" s="48"/>
      <c r="PB252" s="48"/>
      <c r="PC252" s="48"/>
      <c r="PD252" s="48"/>
      <c r="PE252" s="48"/>
      <c r="PF252" s="48"/>
      <c r="PG252" s="48"/>
      <c r="PH252" s="48"/>
      <c r="PI252" s="48"/>
      <c r="PJ252" s="48"/>
      <c r="PK252" s="48"/>
      <c r="PL252" s="48"/>
      <c r="PM252" s="48"/>
      <c r="PN252" s="48"/>
      <c r="PO252" s="48"/>
      <c r="PP252" s="48"/>
      <c r="PQ252" s="48"/>
      <c r="PR252" s="48"/>
      <c r="PS252" s="48"/>
      <c r="PT252" s="48"/>
      <c r="PU252" s="48"/>
      <c r="PV252" s="48"/>
      <c r="PW252" s="48"/>
      <c r="PX252" s="48"/>
      <c r="PY252" s="48"/>
      <c r="PZ252" s="48"/>
      <c r="QA252" s="48"/>
      <c r="QB252" s="48"/>
      <c r="QC252" s="48"/>
      <c r="QD252" s="48"/>
      <c r="QE252" s="48"/>
      <c r="QF252" s="48"/>
      <c r="QG252" s="48"/>
      <c r="QH252" s="48"/>
      <c r="QI252" s="48"/>
      <c r="QJ252" s="48"/>
      <c r="QK252" s="48"/>
      <c r="QL252" s="48"/>
      <c r="QM252" s="48"/>
      <c r="QN252" s="48"/>
      <c r="QO252" s="48"/>
      <c r="QP252" s="48"/>
      <c r="QQ252" s="48"/>
      <c r="QR252" s="48"/>
      <c r="QS252" s="48"/>
      <c r="QT252" s="48"/>
      <c r="QU252" s="48"/>
      <c r="QV252" s="48"/>
      <c r="QW252" s="48"/>
      <c r="QX252" s="48"/>
      <c r="QY252" s="48"/>
      <c r="QZ252" s="48"/>
      <c r="RA252" s="48"/>
      <c r="RB252" s="48"/>
      <c r="RC252" s="48"/>
      <c r="RD252" s="48"/>
      <c r="RE252" s="48"/>
      <c r="RF252" s="48"/>
      <c r="RG252" s="48"/>
      <c r="RH252" s="48"/>
      <c r="RI252" s="48"/>
      <c r="RJ252" s="48"/>
      <c r="RK252" s="48"/>
      <c r="RL252" s="48"/>
      <c r="RM252" s="48"/>
      <c r="RN252" s="48"/>
      <c r="RO252" s="48"/>
      <c r="RP252" s="48"/>
      <c r="RQ252" s="48"/>
      <c r="RR252" s="48"/>
      <c r="RS252" s="48"/>
      <c r="RT252" s="48"/>
      <c r="RU252" s="48"/>
      <c r="RV252" s="48"/>
      <c r="RW252" s="48"/>
      <c r="RX252" s="48"/>
      <c r="RY252" s="48"/>
      <c r="RZ252" s="48"/>
      <c r="SA252" s="48"/>
      <c r="SB252" s="48"/>
      <c r="SC252" s="48"/>
      <c r="SD252" s="48"/>
      <c r="SE252" s="48"/>
      <c r="SF252" s="48"/>
      <c r="SG252" s="48"/>
      <c r="SH252" s="48"/>
      <c r="SI252" s="48"/>
      <c r="SJ252" s="48"/>
      <c r="SK252" s="48"/>
      <c r="SL252" s="48"/>
      <c r="SM252" s="48"/>
      <c r="SN252" s="48"/>
      <c r="SO252" s="48"/>
      <c r="SP252" s="48"/>
      <c r="SQ252" s="48"/>
      <c r="SR252" s="48"/>
      <c r="SS252" s="48"/>
      <c r="ST252" s="48"/>
      <c r="SU252" s="48"/>
      <c r="SV252" s="48"/>
      <c r="SW252" s="48"/>
      <c r="SX252" s="48"/>
      <c r="SY252" s="48"/>
      <c r="SZ252" s="48"/>
      <c r="TA252" s="48"/>
      <c r="TB252" s="48"/>
      <c r="TC252" s="48"/>
      <c r="TD252" s="48"/>
      <c r="TE252" s="48"/>
      <c r="TF252" s="48"/>
      <c r="TG252" s="48"/>
      <c r="TH252" s="48"/>
      <c r="TI252" s="48"/>
      <c r="TJ252" s="48"/>
      <c r="TK252" s="48"/>
      <c r="TL252" s="48"/>
      <c r="TM252" s="48"/>
      <c r="TN252" s="48"/>
      <c r="TO252" s="48"/>
      <c r="TP252" s="48"/>
      <c r="TQ252" s="48"/>
      <c r="TR252" s="48"/>
      <c r="TS252" s="48"/>
      <c r="TT252" s="48"/>
      <c r="TU252" s="48"/>
      <c r="TV252" s="48"/>
      <c r="TW252" s="48"/>
      <c r="TX252" s="48"/>
      <c r="TY252" s="48"/>
      <c r="TZ252" s="48"/>
      <c r="UA252" s="48"/>
      <c r="UB252" s="48"/>
      <c r="UC252" s="48"/>
      <c r="UD252" s="48"/>
      <c r="UE252" s="48"/>
      <c r="UF252" s="48"/>
      <c r="UG252" s="48"/>
      <c r="UH252" s="48"/>
      <c r="UI252" s="48"/>
      <c r="UJ252" s="48"/>
      <c r="UK252" s="48"/>
      <c r="UL252" s="48"/>
      <c r="UM252" s="48"/>
      <c r="UN252" s="48"/>
      <c r="UO252" s="48"/>
      <c r="UP252" s="48"/>
      <c r="UQ252" s="48"/>
      <c r="UR252" s="48"/>
      <c r="US252" s="48"/>
      <c r="UT252" s="48"/>
      <c r="UU252" s="48"/>
      <c r="UV252" s="48"/>
      <c r="UW252" s="48"/>
      <c r="UX252" s="48"/>
      <c r="UY252" s="48"/>
      <c r="UZ252" s="48"/>
      <c r="VA252" s="48"/>
      <c r="VB252" s="48"/>
      <c r="VC252" s="48"/>
      <c r="VD252" s="48"/>
      <c r="VE252" s="48"/>
      <c r="VF252" s="48"/>
      <c r="VG252" s="48"/>
      <c r="VH252" s="48"/>
      <c r="VI252" s="48"/>
      <c r="VJ252" s="48"/>
      <c r="VK252" s="48"/>
      <c r="VL252" s="48"/>
      <c r="VM252" s="48"/>
      <c r="VN252" s="48"/>
      <c r="VO252" s="48"/>
      <c r="VP252" s="48"/>
      <c r="VQ252" s="48"/>
      <c r="VR252" s="48"/>
      <c r="VS252" s="48"/>
      <c r="VT252" s="48"/>
      <c r="VU252" s="48"/>
      <c r="VV252" s="48"/>
      <c r="VW252" s="48"/>
      <c r="VX252" s="48"/>
      <c r="VY252" s="48"/>
      <c r="VZ252" s="48"/>
      <c r="WA252" s="48"/>
      <c r="WB252" s="48"/>
      <c r="WC252" s="48"/>
      <c r="WD252" s="48"/>
      <c r="WE252" s="48"/>
      <c r="WF252" s="48"/>
      <c r="WG252" s="48"/>
      <c r="WH252" s="48"/>
      <c r="WI252" s="48"/>
      <c r="WJ252" s="48"/>
      <c r="WK252" s="48"/>
      <c r="WL252" s="48"/>
      <c r="WM252" s="48"/>
      <c r="WN252" s="48"/>
      <c r="WO252" s="48"/>
      <c r="WP252" s="48"/>
      <c r="WQ252" s="48"/>
      <c r="WR252" s="48"/>
      <c r="WS252" s="48"/>
      <c r="WT252" s="48"/>
      <c r="WU252" s="48"/>
      <c r="WV252" s="48"/>
      <c r="WW252" s="48"/>
      <c r="WX252" s="48"/>
      <c r="WY252" s="48"/>
      <c r="WZ252" s="48"/>
      <c r="XA252" s="48"/>
      <c r="XB252" s="48"/>
      <c r="XC252" s="48"/>
      <c r="XD252" s="48"/>
      <c r="XE252" s="48"/>
      <c r="XF252" s="48"/>
      <c r="XG252" s="48"/>
      <c r="XH252" s="48"/>
      <c r="XI252" s="48"/>
      <c r="XJ252" s="48"/>
      <c r="XK252" s="48"/>
      <c r="XL252" s="48"/>
      <c r="XM252" s="48"/>
      <c r="XN252" s="48"/>
      <c r="XO252" s="48"/>
      <c r="XP252" s="48"/>
      <c r="XQ252" s="48"/>
      <c r="XR252" s="48"/>
      <c r="XS252" s="48"/>
      <c r="XT252" s="48"/>
      <c r="XU252" s="48"/>
      <c r="XV252" s="48"/>
      <c r="XW252" s="48"/>
      <c r="XX252" s="48"/>
      <c r="XY252" s="48"/>
      <c r="XZ252" s="48"/>
      <c r="YA252" s="48"/>
      <c r="YB252" s="48"/>
      <c r="YC252" s="48"/>
      <c r="YD252" s="48"/>
      <c r="YE252" s="48"/>
      <c r="YF252" s="48"/>
      <c r="YG252" s="48"/>
      <c r="YH252" s="48"/>
      <c r="YI252" s="48"/>
      <c r="YJ252" s="48"/>
      <c r="YK252" s="48"/>
      <c r="YL252" s="48"/>
      <c r="YM252" s="48"/>
      <c r="YN252" s="48"/>
      <c r="YO252" s="48"/>
      <c r="YP252" s="48"/>
      <c r="YQ252" s="48"/>
      <c r="YR252" s="48"/>
      <c r="YS252" s="48"/>
      <c r="YT252" s="48"/>
      <c r="YU252" s="48"/>
      <c r="YV252" s="48"/>
      <c r="YW252" s="48"/>
      <c r="YX252" s="48"/>
      <c r="YY252" s="48"/>
      <c r="YZ252" s="48"/>
      <c r="ZA252" s="48"/>
      <c r="ZB252" s="48"/>
      <c r="ZC252" s="48"/>
      <c r="ZD252" s="48"/>
      <c r="ZE252" s="48"/>
      <c r="ZF252" s="48"/>
      <c r="ZG252" s="48"/>
      <c r="ZH252" s="48"/>
      <c r="ZI252" s="48"/>
      <c r="ZJ252" s="48"/>
      <c r="ZK252" s="48"/>
      <c r="ZL252" s="48"/>
      <c r="ZM252" s="48"/>
      <c r="ZN252" s="48"/>
      <c r="ZO252" s="48"/>
      <c r="ZP252" s="48"/>
      <c r="ZQ252" s="48"/>
      <c r="ZR252" s="48"/>
      <c r="ZS252" s="48"/>
      <c r="ZT252" s="48"/>
      <c r="ZU252" s="48"/>
      <c r="ZV252" s="48"/>
      <c r="ZW252" s="48"/>
      <c r="ZX252" s="48"/>
      <c r="ZY252" s="48"/>
      <c r="ZZ252" s="48"/>
      <c r="AAA252" s="48"/>
      <c r="AAB252" s="48"/>
      <c r="AAC252" s="48"/>
      <c r="AAD252" s="48"/>
      <c r="AAE252" s="48"/>
      <c r="AAF252" s="48"/>
      <c r="AAG252" s="48"/>
      <c r="AAH252" s="48"/>
      <c r="AAI252" s="48"/>
      <c r="AAJ252" s="48"/>
      <c r="AAK252" s="48"/>
      <c r="AAL252" s="48"/>
      <c r="AAM252" s="48"/>
      <c r="AAN252" s="48"/>
      <c r="AAO252" s="48"/>
      <c r="AAP252" s="48"/>
      <c r="AAQ252" s="48"/>
      <c r="AAR252" s="48"/>
      <c r="AAS252" s="48"/>
      <c r="AAT252" s="48"/>
      <c r="AAU252" s="48"/>
      <c r="AAV252" s="48"/>
      <c r="AAW252" s="48"/>
      <c r="AAX252" s="48"/>
      <c r="AAY252" s="48"/>
      <c r="AAZ252" s="48"/>
      <c r="ABA252" s="48"/>
      <c r="ABB252" s="48"/>
      <c r="ABC252" s="48"/>
      <c r="ABD252" s="48"/>
      <c r="ABE252" s="48"/>
      <c r="ABF252" s="48"/>
      <c r="ABG252" s="48"/>
      <c r="ABH252" s="48"/>
      <c r="ABI252" s="48"/>
      <c r="ABJ252" s="48"/>
      <c r="ABK252" s="48"/>
      <c r="ABL252" s="48"/>
      <c r="ABM252" s="48"/>
      <c r="ABN252" s="48"/>
      <c r="ABO252" s="48"/>
      <c r="ABP252" s="48"/>
      <c r="ABQ252" s="48"/>
      <c r="ABR252" s="48"/>
      <c r="ABS252" s="48"/>
      <c r="ABT252" s="48"/>
      <c r="ABU252" s="48"/>
      <c r="ABV252" s="48"/>
      <c r="ABW252" s="48"/>
      <c r="ABX252" s="48"/>
      <c r="ABY252" s="48"/>
      <c r="ABZ252" s="48"/>
      <c r="ACA252" s="48"/>
      <c r="ACB252" s="48"/>
      <c r="ACC252" s="48"/>
      <c r="ACD252" s="48"/>
      <c r="ACE252" s="48"/>
      <c r="ACF252" s="48"/>
      <c r="ACG252" s="48"/>
      <c r="ACH252" s="48"/>
      <c r="ACI252" s="48"/>
      <c r="ACJ252" s="48"/>
      <c r="ACK252" s="48"/>
      <c r="ACL252" s="48"/>
      <c r="ACM252" s="48"/>
      <c r="ACN252" s="48"/>
      <c r="ACO252" s="48"/>
      <c r="ACP252" s="48"/>
      <c r="ACQ252" s="48"/>
      <c r="ACR252" s="48"/>
      <c r="ACS252" s="48"/>
      <c r="ACT252" s="48"/>
      <c r="ACU252" s="48"/>
      <c r="ACV252" s="48"/>
      <c r="ACW252" s="48"/>
      <c r="ACX252" s="48"/>
      <c r="ACY252" s="48"/>
      <c r="ACZ252" s="48"/>
      <c r="ADA252" s="48"/>
      <c r="ADB252" s="48"/>
      <c r="ADC252" s="48"/>
      <c r="ADD252" s="48"/>
      <c r="ADE252" s="48"/>
      <c r="ADF252" s="48"/>
      <c r="ADG252" s="48"/>
      <c r="ADH252" s="48"/>
      <c r="ADI252" s="48"/>
      <c r="ADJ252" s="48"/>
      <c r="ADK252" s="48"/>
      <c r="ADL252" s="48"/>
      <c r="ADM252" s="48"/>
      <c r="ADN252" s="48"/>
      <c r="ADO252" s="48"/>
      <c r="ADP252" s="48"/>
      <c r="ADQ252" s="48"/>
      <c r="ADR252" s="48"/>
      <c r="ADS252" s="48"/>
      <c r="ADT252" s="48"/>
      <c r="ADU252" s="48"/>
      <c r="ADV252" s="48"/>
      <c r="ADW252" s="48"/>
      <c r="ADX252" s="48"/>
      <c r="ADY252" s="48"/>
      <c r="ADZ252" s="48"/>
      <c r="AEA252" s="48"/>
      <c r="AEB252" s="48"/>
      <c r="AEC252" s="48"/>
      <c r="AED252" s="48"/>
      <c r="AEE252" s="48"/>
      <c r="AEF252" s="48"/>
      <c r="AEG252" s="48"/>
      <c r="AEH252" s="48"/>
      <c r="AEI252" s="48"/>
      <c r="AEJ252" s="48"/>
      <c r="AEK252" s="48"/>
      <c r="AEL252" s="48"/>
      <c r="AEM252" s="48"/>
      <c r="AEN252" s="48"/>
      <c r="AEO252" s="48"/>
      <c r="AEP252" s="48"/>
      <c r="AEQ252" s="48"/>
      <c r="AER252" s="48"/>
      <c r="AES252" s="48"/>
      <c r="AET252" s="48"/>
      <c r="AEU252" s="48"/>
      <c r="AEV252" s="48"/>
      <c r="AEW252" s="48"/>
      <c r="AEX252" s="48"/>
      <c r="AEY252" s="48"/>
      <c r="AEZ252" s="48"/>
      <c r="AFA252" s="48"/>
      <c r="AFB252" s="48"/>
      <c r="AFC252" s="48"/>
      <c r="AFD252" s="48"/>
      <c r="AFE252" s="48"/>
      <c r="AFF252" s="48"/>
      <c r="AFG252" s="48"/>
      <c r="AFH252" s="48"/>
      <c r="AFI252" s="48"/>
      <c r="AFJ252" s="48"/>
      <c r="AFK252" s="48"/>
      <c r="AFL252" s="48"/>
      <c r="AFM252" s="48"/>
      <c r="AFN252" s="48"/>
      <c r="AFO252" s="48"/>
      <c r="AFP252" s="48"/>
      <c r="AFQ252" s="48"/>
      <c r="AFR252" s="48"/>
      <c r="AFS252" s="48"/>
      <c r="AFT252" s="48"/>
      <c r="AFU252" s="48"/>
      <c r="AFV252" s="48"/>
      <c r="AFW252" s="48"/>
      <c r="AFX252" s="48"/>
      <c r="AFY252" s="48"/>
      <c r="AFZ252" s="48"/>
      <c r="AGA252" s="48"/>
      <c r="AGB252" s="48"/>
      <c r="AGC252" s="48"/>
      <c r="AGD252" s="48"/>
      <c r="AGE252" s="48"/>
      <c r="AGF252" s="48"/>
      <c r="AGG252" s="48"/>
      <c r="AGH252" s="48"/>
      <c r="AGI252" s="48"/>
      <c r="AGJ252" s="48"/>
      <c r="AGK252" s="48"/>
      <c r="AGL252" s="48"/>
      <c r="AGM252" s="48"/>
      <c r="AGN252" s="48"/>
      <c r="AGO252" s="48"/>
      <c r="AGP252" s="48"/>
      <c r="AGQ252" s="48"/>
      <c r="AGR252" s="48"/>
      <c r="AGS252" s="48"/>
      <c r="AGT252" s="48"/>
      <c r="AGU252" s="48"/>
      <c r="AGV252" s="48"/>
      <c r="AGW252" s="48"/>
      <c r="AGX252" s="48"/>
      <c r="AGY252" s="48"/>
      <c r="AGZ252" s="48"/>
      <c r="AHA252" s="48"/>
      <c r="AHB252" s="48"/>
      <c r="AHC252" s="48"/>
      <c r="AHD252" s="48"/>
      <c r="AHE252" s="48"/>
      <c r="AHF252" s="48"/>
      <c r="AHG252" s="48"/>
      <c r="AHH252" s="48"/>
      <c r="AHI252" s="48"/>
      <c r="AHJ252" s="48"/>
      <c r="AHK252" s="48"/>
      <c r="AHL252" s="48"/>
      <c r="AHM252" s="48"/>
      <c r="AHN252" s="48"/>
      <c r="AHO252" s="48"/>
      <c r="AHP252" s="48"/>
      <c r="AHQ252" s="48"/>
      <c r="AHR252" s="48"/>
      <c r="AHS252" s="48"/>
      <c r="AHT252" s="48"/>
      <c r="AHU252" s="48"/>
      <c r="AHV252" s="48"/>
      <c r="AHW252" s="48"/>
      <c r="AHX252" s="48"/>
      <c r="AHY252" s="48"/>
      <c r="AHZ252" s="48"/>
      <c r="AIA252" s="48"/>
      <c r="AIB252" s="48"/>
      <c r="AIC252" s="48"/>
      <c r="AID252" s="48"/>
      <c r="AIE252" s="48"/>
      <c r="AIF252" s="48"/>
      <c r="AIG252" s="48"/>
      <c r="AIH252" s="48"/>
      <c r="AII252" s="48"/>
      <c r="AIJ252" s="48"/>
      <c r="AIK252" s="48"/>
      <c r="AIL252" s="48"/>
      <c r="AIM252" s="48"/>
      <c r="AIN252" s="48"/>
      <c r="AIO252" s="48"/>
      <c r="AIP252" s="48"/>
      <c r="AIQ252" s="48"/>
      <c r="AIR252" s="48"/>
      <c r="AIS252" s="48"/>
      <c r="AIT252" s="48"/>
      <c r="AIU252" s="48"/>
      <c r="AIV252" s="48"/>
      <c r="AIW252" s="48"/>
      <c r="AIX252" s="48"/>
      <c r="AIY252" s="48"/>
      <c r="AIZ252" s="48"/>
      <c r="AJA252" s="48"/>
      <c r="AJB252" s="48"/>
      <c r="AJC252" s="48"/>
      <c r="AJD252" s="48"/>
      <c r="AJE252" s="48"/>
      <c r="AJF252" s="48"/>
      <c r="AJG252" s="48"/>
      <c r="AJH252" s="48"/>
      <c r="AJI252" s="48"/>
      <c r="AJJ252" s="48"/>
      <c r="AJK252" s="48"/>
      <c r="AJL252" s="48"/>
      <c r="AJM252" s="48"/>
      <c r="AJN252" s="48"/>
      <c r="AJO252" s="48"/>
      <c r="AJP252" s="48"/>
      <c r="AJQ252" s="48"/>
      <c r="AJR252" s="48"/>
      <c r="AJS252" s="48"/>
      <c r="AJT252" s="48"/>
      <c r="AJU252" s="48"/>
      <c r="AJV252" s="48"/>
      <c r="AJW252" s="48"/>
      <c r="AJX252" s="48"/>
      <c r="AJY252" s="48"/>
      <c r="AJZ252" s="48"/>
      <c r="AKA252" s="48"/>
      <c r="AKB252" s="48"/>
      <c r="AKC252" s="48"/>
      <c r="AKD252" s="48"/>
      <c r="AKE252" s="48"/>
      <c r="AKF252" s="48"/>
      <c r="AKG252" s="48"/>
      <c r="AKH252" s="48"/>
      <c r="AKI252" s="48"/>
      <c r="AKJ252" s="48"/>
      <c r="AKK252" s="48"/>
      <c r="AKL252" s="48"/>
      <c r="AKM252" s="48"/>
      <c r="AKN252" s="48"/>
      <c r="AKO252" s="48"/>
      <c r="AKP252" s="48"/>
      <c r="AKQ252" s="48"/>
      <c r="AKR252" s="48"/>
      <c r="AKS252" s="48"/>
      <c r="AKT252" s="48"/>
      <c r="AKU252" s="48"/>
      <c r="AKV252" s="48"/>
      <c r="AKW252" s="48"/>
      <c r="AKX252" s="48"/>
      <c r="AKY252" s="48"/>
      <c r="AKZ252" s="48"/>
      <c r="ALA252" s="48"/>
      <c r="ALB252" s="48"/>
      <c r="ALC252" s="48"/>
      <c r="ALD252" s="48"/>
      <c r="ALE252" s="48"/>
      <c r="ALF252" s="48"/>
      <c r="ALG252" s="48"/>
      <c r="ALH252" s="48"/>
      <c r="ALI252" s="48"/>
      <c r="ALJ252" s="48"/>
      <c r="ALK252" s="48"/>
      <c r="ALL252" s="48"/>
      <c r="ALM252" s="48"/>
      <c r="ALN252" s="48"/>
      <c r="ALO252" s="48"/>
      <c r="ALP252" s="48"/>
      <c r="ALQ252" s="48"/>
      <c r="ALR252" s="48"/>
      <c r="ALS252" s="48"/>
      <c r="ALT252" s="48"/>
      <c r="ALU252" s="48"/>
      <c r="ALV252" s="48"/>
      <c r="ALW252" s="48"/>
      <c r="ALX252" s="48"/>
      <c r="ALY252" s="48"/>
      <c r="ALZ252" s="48"/>
      <c r="AMA252" s="48"/>
      <c r="AMB252" s="48"/>
      <c r="AMC252" s="48"/>
      <c r="AMD252" s="48"/>
      <c r="AME252" s="48"/>
      <c r="AMF252" s="48"/>
      <c r="AMG252" s="48"/>
      <c r="AMH252" s="48"/>
      <c r="AMI252" s="48"/>
      <c r="AMJ252" s="48"/>
      <c r="AMK252" s="48"/>
    </row>
    <row r="253" spans="1:1025" s="80" customFormat="1" x14ac:dyDescent="0.25">
      <c r="A253" s="140" t="s">
        <v>743</v>
      </c>
      <c r="B253" s="54">
        <v>100</v>
      </c>
      <c r="C253" s="55">
        <v>19.100000000000001</v>
      </c>
      <c r="D253" s="55">
        <v>3.1</v>
      </c>
      <c r="E253" s="55">
        <v>8.3000000000000007</v>
      </c>
      <c r="F253" s="55">
        <v>138</v>
      </c>
      <c r="G253" s="55">
        <v>41.81</v>
      </c>
      <c r="H253" s="55">
        <v>18.41</v>
      </c>
      <c r="I253" s="55">
        <v>1.17</v>
      </c>
      <c r="J253" s="55">
        <v>0.37</v>
      </c>
      <c r="K253" s="120" t="s">
        <v>299</v>
      </c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  <c r="BK253" s="48"/>
      <c r="BL253" s="48"/>
      <c r="BM253" s="48"/>
      <c r="BN253" s="48"/>
      <c r="BO253" s="48"/>
      <c r="BP253" s="48"/>
      <c r="BQ253" s="48"/>
      <c r="BR253" s="48"/>
      <c r="BS253" s="48"/>
      <c r="BT253" s="48"/>
      <c r="BU253" s="48"/>
      <c r="BV253" s="48"/>
      <c r="BW253" s="48"/>
      <c r="BX253" s="48"/>
      <c r="BY253" s="48"/>
      <c r="BZ253" s="48"/>
      <c r="CA253" s="48"/>
      <c r="CB253" s="48"/>
      <c r="CC253" s="48"/>
      <c r="CD253" s="48"/>
      <c r="CE253" s="48"/>
      <c r="CF253" s="48"/>
      <c r="CG253" s="48"/>
      <c r="CH253" s="48"/>
      <c r="CI253" s="48"/>
      <c r="CJ253" s="48"/>
      <c r="CK253" s="48"/>
      <c r="CL253" s="48"/>
      <c r="CM253" s="48"/>
      <c r="CN253" s="48"/>
      <c r="CO253" s="48"/>
      <c r="CP253" s="48"/>
      <c r="CQ253" s="48"/>
      <c r="CR253" s="48"/>
      <c r="CS253" s="48"/>
      <c r="CT253" s="48"/>
      <c r="CU253" s="48"/>
      <c r="CV253" s="48"/>
      <c r="CW253" s="48"/>
      <c r="CX253" s="48"/>
      <c r="CY253" s="48"/>
      <c r="CZ253" s="48"/>
      <c r="DA253" s="48"/>
      <c r="DB253" s="48"/>
      <c r="DC253" s="48"/>
      <c r="DD253" s="48"/>
      <c r="DE253" s="48"/>
      <c r="DF253" s="48"/>
      <c r="DG253" s="48"/>
      <c r="DH253" s="48"/>
      <c r="DI253" s="48"/>
      <c r="DJ253" s="48"/>
      <c r="DK253" s="48"/>
      <c r="DL253" s="48"/>
      <c r="DM253" s="48"/>
      <c r="DN253" s="48"/>
      <c r="DO253" s="48"/>
      <c r="DP253" s="48"/>
      <c r="DQ253" s="48"/>
      <c r="DR253" s="48"/>
      <c r="DS253" s="48"/>
      <c r="DT253" s="48"/>
      <c r="DU253" s="48"/>
      <c r="DV253" s="48"/>
      <c r="DW253" s="48"/>
      <c r="DX253" s="48"/>
      <c r="DY253" s="48"/>
      <c r="DZ253" s="48"/>
      <c r="EA253" s="48"/>
      <c r="EB253" s="48"/>
      <c r="EC253" s="48"/>
      <c r="ED253" s="48"/>
      <c r="EE253" s="48"/>
      <c r="EF253" s="48"/>
      <c r="EG253" s="48"/>
      <c r="EH253" s="48"/>
      <c r="EI253" s="48"/>
      <c r="EJ253" s="48"/>
      <c r="EK253" s="48"/>
      <c r="EL253" s="48"/>
      <c r="EM253" s="48"/>
      <c r="EN253" s="48"/>
      <c r="EO253" s="48"/>
      <c r="EP253" s="48"/>
      <c r="EQ253" s="48"/>
      <c r="ER253" s="48"/>
      <c r="ES253" s="48"/>
      <c r="ET253" s="48"/>
      <c r="EU253" s="48"/>
      <c r="EV253" s="48"/>
      <c r="EW253" s="48"/>
      <c r="EX253" s="48"/>
      <c r="EY253" s="48"/>
      <c r="EZ253" s="48"/>
      <c r="FA253" s="48"/>
      <c r="FB253" s="48"/>
      <c r="FC253" s="48"/>
      <c r="FD253" s="48"/>
      <c r="FE253" s="48"/>
      <c r="FF253" s="48"/>
      <c r="FG253" s="48"/>
      <c r="FH253" s="48"/>
      <c r="FI253" s="48"/>
      <c r="FJ253" s="48"/>
      <c r="FK253" s="48"/>
      <c r="FL253" s="48"/>
      <c r="FM253" s="48"/>
      <c r="FN253" s="48"/>
      <c r="FO253" s="48"/>
      <c r="FP253" s="48"/>
      <c r="FQ253" s="48"/>
      <c r="FR253" s="48"/>
      <c r="FS253" s="48"/>
      <c r="FT253" s="48"/>
      <c r="FU253" s="48"/>
      <c r="FV253" s="48"/>
      <c r="FW253" s="48"/>
      <c r="FX253" s="48"/>
      <c r="FY253" s="48"/>
      <c r="FZ253" s="48"/>
      <c r="GA253" s="48"/>
      <c r="GB253" s="48"/>
      <c r="GC253" s="48"/>
      <c r="GD253" s="48"/>
      <c r="GE253" s="48"/>
      <c r="GF253" s="48"/>
      <c r="GG253" s="48"/>
      <c r="GH253" s="48"/>
      <c r="GI253" s="48"/>
      <c r="GJ253" s="48"/>
      <c r="GK253" s="48"/>
      <c r="GL253" s="48"/>
      <c r="GM253" s="48"/>
      <c r="GN253" s="48"/>
      <c r="GO253" s="48"/>
      <c r="GP253" s="48"/>
      <c r="GQ253" s="48"/>
      <c r="GR253" s="48"/>
      <c r="GS253" s="48"/>
      <c r="GT253" s="48"/>
      <c r="GU253" s="48"/>
      <c r="GV253" s="48"/>
      <c r="GW253" s="48"/>
      <c r="GX253" s="48"/>
      <c r="GY253" s="48"/>
      <c r="GZ253" s="48"/>
      <c r="HA253" s="48"/>
      <c r="HB253" s="48"/>
      <c r="HC253" s="48"/>
      <c r="HD253" s="48"/>
      <c r="HE253" s="48"/>
      <c r="HF253" s="48"/>
      <c r="HG253" s="48"/>
      <c r="HH253" s="48"/>
      <c r="HI253" s="48"/>
      <c r="HJ253" s="48"/>
      <c r="HK253" s="48"/>
      <c r="HL253" s="48"/>
      <c r="HM253" s="48"/>
      <c r="HN253" s="48"/>
      <c r="HO253" s="48"/>
      <c r="HP253" s="48"/>
      <c r="HQ253" s="48"/>
      <c r="HR253" s="48"/>
      <c r="HS253" s="48"/>
      <c r="HT253" s="48"/>
      <c r="HU253" s="48"/>
      <c r="HV253" s="48"/>
      <c r="HW253" s="48"/>
      <c r="HX253" s="48"/>
      <c r="HY253" s="48"/>
      <c r="HZ253" s="48"/>
      <c r="IA253" s="48"/>
      <c r="IB253" s="48"/>
      <c r="IC253" s="48"/>
      <c r="ID253" s="48"/>
      <c r="IE253" s="48"/>
      <c r="IF253" s="48"/>
      <c r="IG253" s="48"/>
      <c r="IH253" s="48"/>
      <c r="II253" s="48"/>
      <c r="IJ253" s="48"/>
      <c r="IK253" s="48"/>
      <c r="IL253" s="48"/>
      <c r="IM253" s="48"/>
      <c r="IN253" s="48"/>
      <c r="IO253" s="48"/>
      <c r="IP253" s="48"/>
      <c r="IQ253" s="48"/>
      <c r="IR253" s="48"/>
      <c r="IS253" s="48"/>
      <c r="IT253" s="48"/>
      <c r="IU253" s="48"/>
      <c r="IV253" s="48"/>
      <c r="IW253" s="48"/>
      <c r="IX253" s="48"/>
      <c r="IY253" s="48"/>
      <c r="IZ253" s="48"/>
      <c r="JA253" s="48"/>
      <c r="JB253" s="48"/>
      <c r="JC253" s="48"/>
      <c r="JD253" s="48"/>
      <c r="JE253" s="48"/>
      <c r="JF253" s="48"/>
      <c r="JG253" s="48"/>
      <c r="JH253" s="48"/>
      <c r="JI253" s="48"/>
      <c r="JJ253" s="48"/>
      <c r="JK253" s="48"/>
      <c r="JL253" s="48"/>
      <c r="JM253" s="48"/>
      <c r="JN253" s="48"/>
      <c r="JO253" s="48"/>
      <c r="JP253" s="48"/>
      <c r="JQ253" s="48"/>
      <c r="JR253" s="48"/>
      <c r="JS253" s="48"/>
      <c r="JT253" s="48"/>
      <c r="JU253" s="48"/>
      <c r="JV253" s="48"/>
      <c r="JW253" s="48"/>
      <c r="JX253" s="48"/>
      <c r="JY253" s="48"/>
      <c r="JZ253" s="48"/>
      <c r="KA253" s="48"/>
      <c r="KB253" s="48"/>
      <c r="KC253" s="48"/>
      <c r="KD253" s="48"/>
      <c r="KE253" s="48"/>
      <c r="KF253" s="48"/>
      <c r="KG253" s="48"/>
      <c r="KH253" s="48"/>
      <c r="KI253" s="48"/>
      <c r="KJ253" s="48"/>
      <c r="KK253" s="48"/>
      <c r="KL253" s="48"/>
      <c r="KM253" s="48"/>
      <c r="KN253" s="48"/>
      <c r="KO253" s="48"/>
      <c r="KP253" s="48"/>
      <c r="KQ253" s="48"/>
      <c r="KR253" s="48"/>
      <c r="KS253" s="48"/>
      <c r="KT253" s="48"/>
      <c r="KU253" s="48"/>
      <c r="KV253" s="48"/>
      <c r="KW253" s="48"/>
      <c r="KX253" s="48"/>
      <c r="KY253" s="48"/>
      <c r="KZ253" s="48"/>
      <c r="LA253" s="48"/>
      <c r="LB253" s="48"/>
      <c r="LC253" s="48"/>
      <c r="LD253" s="48"/>
      <c r="LE253" s="48"/>
      <c r="LF253" s="48"/>
      <c r="LG253" s="48"/>
      <c r="LH253" s="48"/>
      <c r="LI253" s="48"/>
      <c r="LJ253" s="48"/>
      <c r="LK253" s="48"/>
      <c r="LL253" s="48"/>
      <c r="LM253" s="48"/>
      <c r="LN253" s="48"/>
      <c r="LO253" s="48"/>
      <c r="LP253" s="48"/>
      <c r="LQ253" s="48"/>
      <c r="LR253" s="48"/>
      <c r="LS253" s="48"/>
      <c r="LT253" s="48"/>
      <c r="LU253" s="48"/>
      <c r="LV253" s="48"/>
      <c r="LW253" s="48"/>
      <c r="LX253" s="48"/>
      <c r="LY253" s="48"/>
      <c r="LZ253" s="48"/>
      <c r="MA253" s="48"/>
      <c r="MB253" s="48"/>
      <c r="MC253" s="48"/>
      <c r="MD253" s="48"/>
      <c r="ME253" s="48"/>
      <c r="MF253" s="48"/>
      <c r="MG253" s="48"/>
      <c r="MH253" s="48"/>
      <c r="MI253" s="48"/>
      <c r="MJ253" s="48"/>
      <c r="MK253" s="48"/>
      <c r="ML253" s="48"/>
      <c r="MM253" s="48"/>
      <c r="MN253" s="48"/>
      <c r="MO253" s="48"/>
      <c r="MP253" s="48"/>
      <c r="MQ253" s="48"/>
      <c r="MR253" s="48"/>
      <c r="MS253" s="48"/>
      <c r="MT253" s="48"/>
      <c r="MU253" s="48"/>
      <c r="MV253" s="48"/>
      <c r="MW253" s="48"/>
      <c r="MX253" s="48"/>
      <c r="MY253" s="48"/>
      <c r="MZ253" s="48"/>
      <c r="NA253" s="48"/>
      <c r="NB253" s="48"/>
      <c r="NC253" s="48"/>
      <c r="ND253" s="48"/>
      <c r="NE253" s="48"/>
      <c r="NF253" s="48"/>
      <c r="NG253" s="48"/>
      <c r="NH253" s="48"/>
      <c r="NI253" s="48"/>
      <c r="NJ253" s="48"/>
      <c r="NK253" s="48"/>
      <c r="NL253" s="48"/>
      <c r="NM253" s="48"/>
      <c r="NN253" s="48"/>
      <c r="NO253" s="48"/>
      <c r="NP253" s="48"/>
      <c r="NQ253" s="48"/>
      <c r="NR253" s="48"/>
      <c r="NS253" s="48"/>
      <c r="NT253" s="48"/>
      <c r="NU253" s="48"/>
      <c r="NV253" s="48"/>
      <c r="NW253" s="48"/>
      <c r="NX253" s="48"/>
      <c r="NY253" s="48"/>
      <c r="NZ253" s="48"/>
      <c r="OA253" s="48"/>
      <c r="OB253" s="48"/>
      <c r="OC253" s="48"/>
      <c r="OD253" s="48"/>
      <c r="OE253" s="48"/>
      <c r="OF253" s="48"/>
      <c r="OG253" s="48"/>
      <c r="OH253" s="48"/>
      <c r="OI253" s="48"/>
      <c r="OJ253" s="48"/>
      <c r="OK253" s="48"/>
      <c r="OL253" s="48"/>
      <c r="OM253" s="48"/>
      <c r="ON253" s="48"/>
      <c r="OO253" s="48"/>
      <c r="OP253" s="48"/>
      <c r="OQ253" s="48"/>
      <c r="OR253" s="48"/>
      <c r="OS253" s="48"/>
      <c r="OT253" s="48"/>
      <c r="OU253" s="48"/>
      <c r="OV253" s="48"/>
      <c r="OW253" s="48"/>
      <c r="OX253" s="48"/>
      <c r="OY253" s="48"/>
      <c r="OZ253" s="48"/>
      <c r="PA253" s="48"/>
      <c r="PB253" s="48"/>
      <c r="PC253" s="48"/>
      <c r="PD253" s="48"/>
      <c r="PE253" s="48"/>
      <c r="PF253" s="48"/>
      <c r="PG253" s="48"/>
      <c r="PH253" s="48"/>
      <c r="PI253" s="48"/>
      <c r="PJ253" s="48"/>
      <c r="PK253" s="48"/>
      <c r="PL253" s="48"/>
      <c r="PM253" s="48"/>
      <c r="PN253" s="48"/>
      <c r="PO253" s="48"/>
      <c r="PP253" s="48"/>
      <c r="PQ253" s="48"/>
      <c r="PR253" s="48"/>
      <c r="PS253" s="48"/>
      <c r="PT253" s="48"/>
      <c r="PU253" s="48"/>
      <c r="PV253" s="48"/>
      <c r="PW253" s="48"/>
      <c r="PX253" s="48"/>
      <c r="PY253" s="48"/>
      <c r="PZ253" s="48"/>
      <c r="QA253" s="48"/>
      <c r="QB253" s="48"/>
      <c r="QC253" s="48"/>
      <c r="QD253" s="48"/>
      <c r="QE253" s="48"/>
      <c r="QF253" s="48"/>
      <c r="QG253" s="48"/>
      <c r="QH253" s="48"/>
      <c r="QI253" s="48"/>
      <c r="QJ253" s="48"/>
      <c r="QK253" s="48"/>
      <c r="QL253" s="48"/>
      <c r="QM253" s="48"/>
      <c r="QN253" s="48"/>
      <c r="QO253" s="48"/>
      <c r="QP253" s="48"/>
      <c r="QQ253" s="48"/>
      <c r="QR253" s="48"/>
      <c r="QS253" s="48"/>
      <c r="QT253" s="48"/>
      <c r="QU253" s="48"/>
      <c r="QV253" s="48"/>
      <c r="QW253" s="48"/>
      <c r="QX253" s="48"/>
      <c r="QY253" s="48"/>
      <c r="QZ253" s="48"/>
      <c r="RA253" s="48"/>
      <c r="RB253" s="48"/>
      <c r="RC253" s="48"/>
      <c r="RD253" s="48"/>
      <c r="RE253" s="48"/>
      <c r="RF253" s="48"/>
      <c r="RG253" s="48"/>
      <c r="RH253" s="48"/>
      <c r="RI253" s="48"/>
      <c r="RJ253" s="48"/>
      <c r="RK253" s="48"/>
      <c r="RL253" s="48"/>
      <c r="RM253" s="48"/>
      <c r="RN253" s="48"/>
      <c r="RO253" s="48"/>
      <c r="RP253" s="48"/>
      <c r="RQ253" s="48"/>
      <c r="RR253" s="48"/>
      <c r="RS253" s="48"/>
      <c r="RT253" s="48"/>
      <c r="RU253" s="48"/>
      <c r="RV253" s="48"/>
      <c r="RW253" s="48"/>
      <c r="RX253" s="48"/>
      <c r="RY253" s="48"/>
      <c r="RZ253" s="48"/>
      <c r="SA253" s="48"/>
      <c r="SB253" s="48"/>
      <c r="SC253" s="48"/>
      <c r="SD253" s="48"/>
      <c r="SE253" s="48"/>
      <c r="SF253" s="48"/>
      <c r="SG253" s="48"/>
      <c r="SH253" s="48"/>
      <c r="SI253" s="48"/>
      <c r="SJ253" s="48"/>
      <c r="SK253" s="48"/>
      <c r="SL253" s="48"/>
      <c r="SM253" s="48"/>
      <c r="SN253" s="48"/>
      <c r="SO253" s="48"/>
      <c r="SP253" s="48"/>
      <c r="SQ253" s="48"/>
      <c r="SR253" s="48"/>
      <c r="SS253" s="48"/>
      <c r="ST253" s="48"/>
      <c r="SU253" s="48"/>
      <c r="SV253" s="48"/>
      <c r="SW253" s="48"/>
      <c r="SX253" s="48"/>
      <c r="SY253" s="48"/>
      <c r="SZ253" s="48"/>
      <c r="TA253" s="48"/>
      <c r="TB253" s="48"/>
      <c r="TC253" s="48"/>
      <c r="TD253" s="48"/>
      <c r="TE253" s="48"/>
      <c r="TF253" s="48"/>
      <c r="TG253" s="48"/>
      <c r="TH253" s="48"/>
      <c r="TI253" s="48"/>
      <c r="TJ253" s="48"/>
      <c r="TK253" s="48"/>
      <c r="TL253" s="48"/>
      <c r="TM253" s="48"/>
      <c r="TN253" s="48"/>
      <c r="TO253" s="48"/>
      <c r="TP253" s="48"/>
      <c r="TQ253" s="48"/>
      <c r="TR253" s="48"/>
      <c r="TS253" s="48"/>
      <c r="TT253" s="48"/>
      <c r="TU253" s="48"/>
      <c r="TV253" s="48"/>
      <c r="TW253" s="48"/>
      <c r="TX253" s="48"/>
      <c r="TY253" s="48"/>
      <c r="TZ253" s="48"/>
      <c r="UA253" s="48"/>
      <c r="UB253" s="48"/>
      <c r="UC253" s="48"/>
      <c r="UD253" s="48"/>
      <c r="UE253" s="48"/>
      <c r="UF253" s="48"/>
      <c r="UG253" s="48"/>
      <c r="UH253" s="48"/>
      <c r="UI253" s="48"/>
      <c r="UJ253" s="48"/>
      <c r="UK253" s="48"/>
      <c r="UL253" s="48"/>
      <c r="UM253" s="48"/>
      <c r="UN253" s="48"/>
      <c r="UO253" s="48"/>
      <c r="UP253" s="48"/>
      <c r="UQ253" s="48"/>
      <c r="UR253" s="48"/>
      <c r="US253" s="48"/>
      <c r="UT253" s="48"/>
      <c r="UU253" s="48"/>
      <c r="UV253" s="48"/>
      <c r="UW253" s="48"/>
      <c r="UX253" s="48"/>
      <c r="UY253" s="48"/>
      <c r="UZ253" s="48"/>
      <c r="VA253" s="48"/>
      <c r="VB253" s="48"/>
      <c r="VC253" s="48"/>
      <c r="VD253" s="48"/>
      <c r="VE253" s="48"/>
      <c r="VF253" s="48"/>
      <c r="VG253" s="48"/>
      <c r="VH253" s="48"/>
      <c r="VI253" s="48"/>
      <c r="VJ253" s="48"/>
      <c r="VK253" s="48"/>
      <c r="VL253" s="48"/>
      <c r="VM253" s="48"/>
      <c r="VN253" s="48"/>
      <c r="VO253" s="48"/>
      <c r="VP253" s="48"/>
      <c r="VQ253" s="48"/>
      <c r="VR253" s="48"/>
      <c r="VS253" s="48"/>
      <c r="VT253" s="48"/>
      <c r="VU253" s="48"/>
      <c r="VV253" s="48"/>
      <c r="VW253" s="48"/>
      <c r="VX253" s="48"/>
      <c r="VY253" s="48"/>
      <c r="VZ253" s="48"/>
      <c r="WA253" s="48"/>
      <c r="WB253" s="48"/>
      <c r="WC253" s="48"/>
      <c r="WD253" s="48"/>
      <c r="WE253" s="48"/>
      <c r="WF253" s="48"/>
      <c r="WG253" s="48"/>
      <c r="WH253" s="48"/>
      <c r="WI253" s="48"/>
      <c r="WJ253" s="48"/>
      <c r="WK253" s="48"/>
      <c r="WL253" s="48"/>
      <c r="WM253" s="48"/>
      <c r="WN253" s="48"/>
      <c r="WO253" s="48"/>
      <c r="WP253" s="48"/>
      <c r="WQ253" s="48"/>
      <c r="WR253" s="48"/>
      <c r="WS253" s="48"/>
      <c r="WT253" s="48"/>
      <c r="WU253" s="48"/>
      <c r="WV253" s="48"/>
      <c r="WW253" s="48"/>
      <c r="WX253" s="48"/>
      <c r="WY253" s="48"/>
      <c r="WZ253" s="48"/>
      <c r="XA253" s="48"/>
      <c r="XB253" s="48"/>
      <c r="XC253" s="48"/>
      <c r="XD253" s="48"/>
      <c r="XE253" s="48"/>
      <c r="XF253" s="48"/>
      <c r="XG253" s="48"/>
      <c r="XH253" s="48"/>
      <c r="XI253" s="48"/>
      <c r="XJ253" s="48"/>
      <c r="XK253" s="48"/>
      <c r="XL253" s="48"/>
      <c r="XM253" s="48"/>
      <c r="XN253" s="48"/>
      <c r="XO253" s="48"/>
      <c r="XP253" s="48"/>
      <c r="XQ253" s="48"/>
      <c r="XR253" s="48"/>
      <c r="XS253" s="48"/>
      <c r="XT253" s="48"/>
      <c r="XU253" s="48"/>
      <c r="XV253" s="48"/>
      <c r="XW253" s="48"/>
      <c r="XX253" s="48"/>
      <c r="XY253" s="48"/>
      <c r="XZ253" s="48"/>
      <c r="YA253" s="48"/>
      <c r="YB253" s="48"/>
      <c r="YC253" s="48"/>
      <c r="YD253" s="48"/>
      <c r="YE253" s="48"/>
      <c r="YF253" s="48"/>
      <c r="YG253" s="48"/>
      <c r="YH253" s="48"/>
      <c r="YI253" s="48"/>
      <c r="YJ253" s="48"/>
      <c r="YK253" s="48"/>
      <c r="YL253" s="48"/>
      <c r="YM253" s="48"/>
      <c r="YN253" s="48"/>
      <c r="YO253" s="48"/>
      <c r="YP253" s="48"/>
      <c r="YQ253" s="48"/>
      <c r="YR253" s="48"/>
      <c r="YS253" s="48"/>
      <c r="YT253" s="48"/>
      <c r="YU253" s="48"/>
      <c r="YV253" s="48"/>
      <c r="YW253" s="48"/>
      <c r="YX253" s="48"/>
      <c r="YY253" s="48"/>
      <c r="YZ253" s="48"/>
      <c r="ZA253" s="48"/>
      <c r="ZB253" s="48"/>
      <c r="ZC253" s="48"/>
      <c r="ZD253" s="48"/>
      <c r="ZE253" s="48"/>
      <c r="ZF253" s="48"/>
      <c r="ZG253" s="48"/>
      <c r="ZH253" s="48"/>
      <c r="ZI253" s="48"/>
      <c r="ZJ253" s="48"/>
      <c r="ZK253" s="48"/>
      <c r="ZL253" s="48"/>
      <c r="ZM253" s="48"/>
      <c r="ZN253" s="48"/>
      <c r="ZO253" s="48"/>
      <c r="ZP253" s="48"/>
      <c r="ZQ253" s="48"/>
      <c r="ZR253" s="48"/>
      <c r="ZS253" s="48"/>
      <c r="ZT253" s="48"/>
      <c r="ZU253" s="48"/>
      <c r="ZV253" s="48"/>
      <c r="ZW253" s="48"/>
      <c r="ZX253" s="48"/>
      <c r="ZY253" s="48"/>
      <c r="ZZ253" s="48"/>
      <c r="AAA253" s="48"/>
      <c r="AAB253" s="48"/>
      <c r="AAC253" s="48"/>
      <c r="AAD253" s="48"/>
      <c r="AAE253" s="48"/>
      <c r="AAF253" s="48"/>
      <c r="AAG253" s="48"/>
      <c r="AAH253" s="48"/>
      <c r="AAI253" s="48"/>
      <c r="AAJ253" s="48"/>
      <c r="AAK253" s="48"/>
      <c r="AAL253" s="48"/>
      <c r="AAM253" s="48"/>
      <c r="AAN253" s="48"/>
      <c r="AAO253" s="48"/>
      <c r="AAP253" s="48"/>
      <c r="AAQ253" s="48"/>
      <c r="AAR253" s="48"/>
      <c r="AAS253" s="48"/>
      <c r="AAT253" s="48"/>
      <c r="AAU253" s="48"/>
      <c r="AAV253" s="48"/>
      <c r="AAW253" s="48"/>
      <c r="AAX253" s="48"/>
      <c r="AAY253" s="48"/>
      <c r="AAZ253" s="48"/>
      <c r="ABA253" s="48"/>
      <c r="ABB253" s="48"/>
      <c r="ABC253" s="48"/>
      <c r="ABD253" s="48"/>
      <c r="ABE253" s="48"/>
      <c r="ABF253" s="48"/>
      <c r="ABG253" s="48"/>
      <c r="ABH253" s="48"/>
      <c r="ABI253" s="48"/>
      <c r="ABJ253" s="48"/>
      <c r="ABK253" s="48"/>
      <c r="ABL253" s="48"/>
      <c r="ABM253" s="48"/>
      <c r="ABN253" s="48"/>
      <c r="ABO253" s="48"/>
      <c r="ABP253" s="48"/>
      <c r="ABQ253" s="48"/>
      <c r="ABR253" s="48"/>
      <c r="ABS253" s="48"/>
      <c r="ABT253" s="48"/>
      <c r="ABU253" s="48"/>
      <c r="ABV253" s="48"/>
      <c r="ABW253" s="48"/>
      <c r="ABX253" s="48"/>
      <c r="ABY253" s="48"/>
      <c r="ABZ253" s="48"/>
      <c r="ACA253" s="48"/>
      <c r="ACB253" s="48"/>
      <c r="ACC253" s="48"/>
      <c r="ACD253" s="48"/>
      <c r="ACE253" s="48"/>
      <c r="ACF253" s="48"/>
      <c r="ACG253" s="48"/>
      <c r="ACH253" s="48"/>
      <c r="ACI253" s="48"/>
      <c r="ACJ253" s="48"/>
      <c r="ACK253" s="48"/>
      <c r="ACL253" s="48"/>
      <c r="ACM253" s="48"/>
      <c r="ACN253" s="48"/>
      <c r="ACO253" s="48"/>
      <c r="ACP253" s="48"/>
      <c r="ACQ253" s="48"/>
      <c r="ACR253" s="48"/>
      <c r="ACS253" s="48"/>
      <c r="ACT253" s="48"/>
      <c r="ACU253" s="48"/>
      <c r="ACV253" s="48"/>
      <c r="ACW253" s="48"/>
      <c r="ACX253" s="48"/>
      <c r="ACY253" s="48"/>
      <c r="ACZ253" s="48"/>
      <c r="ADA253" s="48"/>
      <c r="ADB253" s="48"/>
      <c r="ADC253" s="48"/>
      <c r="ADD253" s="48"/>
      <c r="ADE253" s="48"/>
      <c r="ADF253" s="48"/>
      <c r="ADG253" s="48"/>
      <c r="ADH253" s="48"/>
      <c r="ADI253" s="48"/>
      <c r="ADJ253" s="48"/>
      <c r="ADK253" s="48"/>
      <c r="ADL253" s="48"/>
      <c r="ADM253" s="48"/>
      <c r="ADN253" s="48"/>
      <c r="ADO253" s="48"/>
      <c r="ADP253" s="48"/>
      <c r="ADQ253" s="48"/>
      <c r="ADR253" s="48"/>
      <c r="ADS253" s="48"/>
      <c r="ADT253" s="48"/>
      <c r="ADU253" s="48"/>
      <c r="ADV253" s="48"/>
      <c r="ADW253" s="48"/>
      <c r="ADX253" s="48"/>
      <c r="ADY253" s="48"/>
      <c r="ADZ253" s="48"/>
      <c r="AEA253" s="48"/>
      <c r="AEB253" s="48"/>
      <c r="AEC253" s="48"/>
      <c r="AED253" s="48"/>
      <c r="AEE253" s="48"/>
      <c r="AEF253" s="48"/>
      <c r="AEG253" s="48"/>
      <c r="AEH253" s="48"/>
      <c r="AEI253" s="48"/>
      <c r="AEJ253" s="48"/>
      <c r="AEK253" s="48"/>
      <c r="AEL253" s="48"/>
      <c r="AEM253" s="48"/>
      <c r="AEN253" s="48"/>
      <c r="AEO253" s="48"/>
      <c r="AEP253" s="48"/>
      <c r="AEQ253" s="48"/>
      <c r="AER253" s="48"/>
      <c r="AES253" s="48"/>
      <c r="AET253" s="48"/>
      <c r="AEU253" s="48"/>
      <c r="AEV253" s="48"/>
      <c r="AEW253" s="48"/>
      <c r="AEX253" s="48"/>
      <c r="AEY253" s="48"/>
      <c r="AEZ253" s="48"/>
      <c r="AFA253" s="48"/>
      <c r="AFB253" s="48"/>
      <c r="AFC253" s="48"/>
      <c r="AFD253" s="48"/>
      <c r="AFE253" s="48"/>
      <c r="AFF253" s="48"/>
      <c r="AFG253" s="48"/>
      <c r="AFH253" s="48"/>
      <c r="AFI253" s="48"/>
      <c r="AFJ253" s="48"/>
      <c r="AFK253" s="48"/>
      <c r="AFL253" s="48"/>
      <c r="AFM253" s="48"/>
      <c r="AFN253" s="48"/>
      <c r="AFO253" s="48"/>
      <c r="AFP253" s="48"/>
      <c r="AFQ253" s="48"/>
      <c r="AFR253" s="48"/>
      <c r="AFS253" s="48"/>
      <c r="AFT253" s="48"/>
      <c r="AFU253" s="48"/>
      <c r="AFV253" s="48"/>
      <c r="AFW253" s="48"/>
      <c r="AFX253" s="48"/>
      <c r="AFY253" s="48"/>
      <c r="AFZ253" s="48"/>
      <c r="AGA253" s="48"/>
      <c r="AGB253" s="48"/>
      <c r="AGC253" s="48"/>
      <c r="AGD253" s="48"/>
      <c r="AGE253" s="48"/>
      <c r="AGF253" s="48"/>
      <c r="AGG253" s="48"/>
      <c r="AGH253" s="48"/>
      <c r="AGI253" s="48"/>
      <c r="AGJ253" s="48"/>
      <c r="AGK253" s="48"/>
      <c r="AGL253" s="48"/>
      <c r="AGM253" s="48"/>
      <c r="AGN253" s="48"/>
      <c r="AGO253" s="48"/>
      <c r="AGP253" s="48"/>
      <c r="AGQ253" s="48"/>
      <c r="AGR253" s="48"/>
      <c r="AGS253" s="48"/>
      <c r="AGT253" s="48"/>
      <c r="AGU253" s="48"/>
      <c r="AGV253" s="48"/>
      <c r="AGW253" s="48"/>
      <c r="AGX253" s="48"/>
      <c r="AGY253" s="48"/>
      <c r="AGZ253" s="48"/>
      <c r="AHA253" s="48"/>
      <c r="AHB253" s="48"/>
      <c r="AHC253" s="48"/>
      <c r="AHD253" s="48"/>
      <c r="AHE253" s="48"/>
      <c r="AHF253" s="48"/>
      <c r="AHG253" s="48"/>
      <c r="AHH253" s="48"/>
      <c r="AHI253" s="48"/>
      <c r="AHJ253" s="48"/>
      <c r="AHK253" s="48"/>
      <c r="AHL253" s="48"/>
      <c r="AHM253" s="48"/>
      <c r="AHN253" s="48"/>
      <c r="AHO253" s="48"/>
      <c r="AHP253" s="48"/>
      <c r="AHQ253" s="48"/>
      <c r="AHR253" s="48"/>
      <c r="AHS253" s="48"/>
      <c r="AHT253" s="48"/>
      <c r="AHU253" s="48"/>
      <c r="AHV253" s="48"/>
      <c r="AHW253" s="48"/>
      <c r="AHX253" s="48"/>
      <c r="AHY253" s="48"/>
      <c r="AHZ253" s="48"/>
      <c r="AIA253" s="48"/>
      <c r="AIB253" s="48"/>
      <c r="AIC253" s="48"/>
      <c r="AID253" s="48"/>
      <c r="AIE253" s="48"/>
      <c r="AIF253" s="48"/>
      <c r="AIG253" s="48"/>
      <c r="AIH253" s="48"/>
      <c r="AII253" s="48"/>
      <c r="AIJ253" s="48"/>
      <c r="AIK253" s="48"/>
      <c r="AIL253" s="48"/>
      <c r="AIM253" s="48"/>
      <c r="AIN253" s="48"/>
      <c r="AIO253" s="48"/>
      <c r="AIP253" s="48"/>
      <c r="AIQ253" s="48"/>
      <c r="AIR253" s="48"/>
      <c r="AIS253" s="48"/>
      <c r="AIT253" s="48"/>
      <c r="AIU253" s="48"/>
      <c r="AIV253" s="48"/>
      <c r="AIW253" s="48"/>
      <c r="AIX253" s="48"/>
      <c r="AIY253" s="48"/>
      <c r="AIZ253" s="48"/>
      <c r="AJA253" s="48"/>
      <c r="AJB253" s="48"/>
      <c r="AJC253" s="48"/>
      <c r="AJD253" s="48"/>
      <c r="AJE253" s="48"/>
      <c r="AJF253" s="48"/>
      <c r="AJG253" s="48"/>
      <c r="AJH253" s="48"/>
      <c r="AJI253" s="48"/>
      <c r="AJJ253" s="48"/>
      <c r="AJK253" s="48"/>
      <c r="AJL253" s="48"/>
      <c r="AJM253" s="48"/>
      <c r="AJN253" s="48"/>
      <c r="AJO253" s="48"/>
      <c r="AJP253" s="48"/>
      <c r="AJQ253" s="48"/>
      <c r="AJR253" s="48"/>
      <c r="AJS253" s="48"/>
      <c r="AJT253" s="48"/>
      <c r="AJU253" s="48"/>
      <c r="AJV253" s="48"/>
      <c r="AJW253" s="48"/>
      <c r="AJX253" s="48"/>
      <c r="AJY253" s="48"/>
      <c r="AJZ253" s="48"/>
      <c r="AKA253" s="48"/>
      <c r="AKB253" s="48"/>
      <c r="AKC253" s="48"/>
      <c r="AKD253" s="48"/>
      <c r="AKE253" s="48"/>
      <c r="AKF253" s="48"/>
      <c r="AKG253" s="48"/>
      <c r="AKH253" s="48"/>
      <c r="AKI253" s="48"/>
      <c r="AKJ253" s="48"/>
      <c r="AKK253" s="48"/>
      <c r="AKL253" s="48"/>
      <c r="AKM253" s="48"/>
      <c r="AKN253" s="48"/>
      <c r="AKO253" s="48"/>
      <c r="AKP253" s="48"/>
      <c r="AKQ253" s="48"/>
      <c r="AKR253" s="48"/>
      <c r="AKS253" s="48"/>
      <c r="AKT253" s="48"/>
      <c r="AKU253" s="48"/>
      <c r="AKV253" s="48"/>
      <c r="AKW253" s="48"/>
      <c r="AKX253" s="48"/>
      <c r="AKY253" s="48"/>
      <c r="AKZ253" s="48"/>
      <c r="ALA253" s="48"/>
      <c r="ALB253" s="48"/>
      <c r="ALC253" s="48"/>
      <c r="ALD253" s="48"/>
      <c r="ALE253" s="48"/>
      <c r="ALF253" s="48"/>
      <c r="ALG253" s="48"/>
      <c r="ALH253" s="48"/>
      <c r="ALI253" s="48"/>
      <c r="ALJ253" s="48"/>
      <c r="ALK253" s="48"/>
      <c r="ALL253" s="48"/>
      <c r="ALM253" s="48"/>
      <c r="ALN253" s="48"/>
      <c r="ALO253" s="48"/>
      <c r="ALP253" s="48"/>
      <c r="ALQ253" s="48"/>
      <c r="ALR253" s="48"/>
      <c r="ALS253" s="48"/>
      <c r="ALT253" s="48"/>
      <c r="ALU253" s="48"/>
      <c r="ALV253" s="48"/>
      <c r="ALW253" s="48"/>
      <c r="ALX253" s="48"/>
      <c r="ALY253" s="48"/>
      <c r="ALZ253" s="48"/>
      <c r="AMA253" s="48"/>
      <c r="AMB253" s="48"/>
      <c r="AMC253" s="48"/>
      <c r="AMD253" s="48"/>
      <c r="AME253" s="48"/>
      <c r="AMF253" s="48"/>
      <c r="AMG253" s="48"/>
      <c r="AMH253" s="48"/>
      <c r="AMI253" s="48"/>
      <c r="AMJ253" s="48"/>
      <c r="AMK253" s="48"/>
    </row>
  </sheetData>
  <pageMargins left="0.7" right="0.7" top="0.75" bottom="0.75" header="0.51180555555555496" footer="0.51180555555555496"/>
  <pageSetup paperSize="9" firstPageNumber="0" orientation="portrait" horizontalDpi="300" verticalDpi="300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11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480">
        <v>16</v>
      </c>
      <c r="C1" s="480"/>
      <c r="D1" s="480"/>
      <c r="E1" t="s">
        <v>47</v>
      </c>
      <c r="F1" s="4"/>
      <c r="I1" t="s">
        <v>48</v>
      </c>
      <c r="J1" s="5">
        <v>45327</v>
      </c>
    </row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ht="30" x14ac:dyDescent="0.25">
      <c r="A4" s="105"/>
      <c r="B4" s="106" t="s">
        <v>54</v>
      </c>
      <c r="C4" s="12" t="str">
        <f>'16'!E41</f>
        <v>1*57</v>
      </c>
      <c r="D4" s="13" t="str">
        <f>'16'!F41</f>
        <v>Бутерброд с сыром и маслом 20/10/10</v>
      </c>
      <c r="E4" s="12">
        <f>'16'!H41</f>
        <v>40</v>
      </c>
      <c r="F4" s="14">
        <f>'16'!I41</f>
        <v>49.55</v>
      </c>
      <c r="G4" s="15">
        <f>'16'!D41</f>
        <v>145.38300000000001</v>
      </c>
      <c r="H4" s="15">
        <f>'16'!A41</f>
        <v>3.84</v>
      </c>
      <c r="I4" s="15">
        <f>'16'!B41</f>
        <v>10.1</v>
      </c>
      <c r="J4" s="16">
        <f>'16'!C41</f>
        <v>9.77</v>
      </c>
    </row>
    <row r="5" spans="1:10" ht="30" x14ac:dyDescent="0.25">
      <c r="A5" s="10" t="s">
        <v>19</v>
      </c>
      <c r="B5" s="11" t="s">
        <v>21</v>
      </c>
      <c r="C5" s="12" t="str">
        <f>'16'!E42</f>
        <v>2/57</v>
      </c>
      <c r="D5" s="13" t="str">
        <f>'16'!F42</f>
        <v>Каша ячневая молочная с маслом сливочным</v>
      </c>
      <c r="E5" s="12">
        <f>'16'!H42</f>
        <v>210</v>
      </c>
      <c r="F5" s="14">
        <f>'16'!I42</f>
        <v>51.38</v>
      </c>
      <c r="G5" s="15">
        <f>'16'!D42</f>
        <v>291.64</v>
      </c>
      <c r="H5" s="15">
        <f>'16'!A42</f>
        <v>9.75</v>
      </c>
      <c r="I5" s="15">
        <f>'16'!B42</f>
        <v>12.14</v>
      </c>
      <c r="J5" s="16">
        <f>'16'!C42</f>
        <v>36.06</v>
      </c>
    </row>
    <row r="6" spans="1:10" x14ac:dyDescent="0.25">
      <c r="A6" s="10"/>
      <c r="B6" s="17"/>
      <c r="C6" s="12" t="str">
        <f>'16'!E43</f>
        <v>12*2</v>
      </c>
      <c r="D6" s="13" t="str">
        <f>'16'!F43</f>
        <v>Соус из малины</v>
      </c>
      <c r="E6" s="12">
        <f>'16'!H43</f>
        <v>30</v>
      </c>
      <c r="F6" s="14">
        <f>'16'!I43</f>
        <v>24.59</v>
      </c>
      <c r="G6" s="15">
        <f>'16'!D43</f>
        <v>34.799999999999997</v>
      </c>
      <c r="H6" s="15">
        <f>'16'!A43</f>
        <v>0.15</v>
      </c>
      <c r="I6" s="15">
        <f>'16'!B43</f>
        <v>0.09</v>
      </c>
      <c r="J6" s="16">
        <f>'16'!C43</f>
        <v>8.58</v>
      </c>
    </row>
    <row r="7" spans="1:10" x14ac:dyDescent="0.25">
      <c r="A7" s="10"/>
      <c r="B7" s="107" t="s">
        <v>22</v>
      </c>
      <c r="C7" s="12" t="str">
        <f>'16'!E44</f>
        <v>11/59</v>
      </c>
      <c r="D7" s="13" t="str">
        <f>'16'!F44</f>
        <v>Кофейный напиток</v>
      </c>
      <c r="E7" s="12">
        <f>'16'!H44</f>
        <v>200</v>
      </c>
      <c r="F7" s="14">
        <f>'16'!I44</f>
        <v>22.2</v>
      </c>
      <c r="G7" s="15">
        <f>'16'!D44</f>
        <v>79</v>
      </c>
      <c r="H7" s="15">
        <f>'16'!A44</f>
        <v>1.4</v>
      </c>
      <c r="I7" s="15">
        <f>'16'!B44</f>
        <v>1.1000000000000001</v>
      </c>
      <c r="J7" s="16">
        <f>'16'!C44</f>
        <v>16.600000000000001</v>
      </c>
    </row>
    <row r="8" spans="1:10" ht="15.75" thickBot="1" x14ac:dyDescent="0.3">
      <c r="A8" s="10"/>
      <c r="B8" s="19" t="s">
        <v>54</v>
      </c>
      <c r="C8" s="12" t="str">
        <f>'16'!E45</f>
        <v>-</v>
      </c>
      <c r="D8" s="13" t="str">
        <f>'16'!F45</f>
        <v>Хлеб вит. ржаной</v>
      </c>
      <c r="E8" s="12">
        <f>'16'!H45</f>
        <v>20</v>
      </c>
      <c r="F8" s="14">
        <f>'16'!I45</f>
        <v>1.8</v>
      </c>
      <c r="G8" s="15">
        <f>'16'!D45</f>
        <v>38.6</v>
      </c>
      <c r="H8" s="15">
        <f>'16'!A45</f>
        <v>1.32</v>
      </c>
      <c r="I8" s="15">
        <f>'16'!B45</f>
        <v>0.24</v>
      </c>
      <c r="J8" s="16">
        <f>'16'!C45</f>
        <v>6.68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ht="45" x14ac:dyDescent="0.25">
      <c r="A12" s="21" t="s">
        <v>25</v>
      </c>
      <c r="B12" s="111" t="s">
        <v>26</v>
      </c>
      <c r="C12" s="112" t="str">
        <f>'16'!E47</f>
        <v>7/80</v>
      </c>
      <c r="D12" s="113" t="str">
        <f>'16'!F47</f>
        <v>Салат из отварной  свеклы с соленым огурцом и куриным яйцом</v>
      </c>
      <c r="E12" s="112">
        <f>'16'!H47</f>
        <v>80</v>
      </c>
      <c r="F12" s="114">
        <f>'16'!I47</f>
        <v>41.6</v>
      </c>
      <c r="G12" s="115">
        <f>'16'!D47</f>
        <v>68.989999999999995</v>
      </c>
      <c r="H12" s="115">
        <f>'16'!A47</f>
        <v>1.03</v>
      </c>
      <c r="I12" s="115">
        <f>'16'!B47</f>
        <v>4.7699999999999996</v>
      </c>
      <c r="J12" s="116">
        <f>'16'!C47</f>
        <v>6.38</v>
      </c>
    </row>
    <row r="13" spans="1:10" ht="30" x14ac:dyDescent="0.25">
      <c r="A13" s="10"/>
      <c r="B13" s="17" t="s">
        <v>27</v>
      </c>
      <c r="C13" s="12" t="str">
        <f>'16'!E48</f>
        <v>6/70</v>
      </c>
      <c r="D13" s="13" t="str">
        <f>'16'!F48</f>
        <v>Рассольник Ленинградский со сметаной</v>
      </c>
      <c r="E13" s="12">
        <f>'16'!H48</f>
        <v>250</v>
      </c>
      <c r="F13" s="14">
        <f>'16'!I48</f>
        <v>50</v>
      </c>
      <c r="G13" s="15">
        <f>'16'!D48</f>
        <v>199.78905478333331</v>
      </c>
      <c r="H13" s="15">
        <f>'16'!A48</f>
        <v>5.55</v>
      </c>
      <c r="I13" s="15">
        <f>'16'!B48</f>
        <v>7.8</v>
      </c>
      <c r="J13" s="16">
        <f>'16'!C48</f>
        <v>15.95</v>
      </c>
    </row>
    <row r="14" spans="1:10" ht="30" x14ac:dyDescent="0.25">
      <c r="A14" s="10"/>
      <c r="B14" s="17" t="s">
        <v>28</v>
      </c>
      <c r="C14" s="12" t="str">
        <f>'16'!E49</f>
        <v>8/35</v>
      </c>
      <c r="D14" s="13" t="str">
        <f>'16'!F49</f>
        <v>Жаркое по-домашнему со свининой</v>
      </c>
      <c r="E14" s="12">
        <f>'16'!H49</f>
        <v>200</v>
      </c>
      <c r="F14" s="14">
        <f>'16'!I49</f>
        <v>112.67</v>
      </c>
      <c r="G14" s="15">
        <f>'16'!D49</f>
        <v>327.07</v>
      </c>
      <c r="H14" s="15">
        <f>'16'!A49</f>
        <v>16.579999999999998</v>
      </c>
      <c r="I14" s="15">
        <f>'16'!B49</f>
        <v>19.5</v>
      </c>
      <c r="J14" s="16">
        <f>'16'!C49</f>
        <v>68.38</v>
      </c>
    </row>
    <row r="15" spans="1:10" ht="30" x14ac:dyDescent="0.25">
      <c r="A15" s="10"/>
      <c r="B15" s="17" t="s">
        <v>29</v>
      </c>
      <c r="C15" s="12" t="str">
        <f>'16'!E50</f>
        <v>11/1</v>
      </c>
      <c r="D15" s="13" t="str">
        <f>'16'!F50</f>
        <v>Напиток ассорти из красных ягод</v>
      </c>
      <c r="E15" s="12">
        <f>'16'!H50</f>
        <v>200</v>
      </c>
      <c r="F15" s="14">
        <f>'16'!I50</f>
        <v>12.8</v>
      </c>
      <c r="G15" s="15">
        <f>'16'!D50</f>
        <v>83.962620000000015</v>
      </c>
      <c r="H15" s="15">
        <f>'16'!A50</f>
        <v>0.14000000000000001</v>
      </c>
      <c r="I15" s="15">
        <f>'16'!B50</f>
        <v>0.1</v>
      </c>
      <c r="J15" s="16">
        <f>'16'!C50</f>
        <v>1.5</v>
      </c>
    </row>
    <row r="16" spans="1:10" x14ac:dyDescent="0.25">
      <c r="A16" s="10"/>
      <c r="B16" s="17" t="s">
        <v>30</v>
      </c>
      <c r="C16" s="12" t="str">
        <f>'16'!E51</f>
        <v>-</v>
      </c>
      <c r="D16" s="13" t="str">
        <f>'16'!F51</f>
        <v>Хлеб вит. пшеничный</v>
      </c>
      <c r="E16" s="12">
        <f>'16'!H51</f>
        <v>40</v>
      </c>
      <c r="F16" s="14">
        <f>'16'!I51</f>
        <v>3.6</v>
      </c>
      <c r="G16" s="15">
        <f>'16'!D51</f>
        <v>89.6</v>
      </c>
      <c r="H16" s="15">
        <f>'16'!A51</f>
        <v>2.64</v>
      </c>
      <c r="I16" s="15">
        <f>'16'!B51</f>
        <v>0.24</v>
      </c>
      <c r="J16" s="16">
        <f>'16'!C51</f>
        <v>18.72</v>
      </c>
    </row>
    <row r="17" spans="1:10" x14ac:dyDescent="0.25">
      <c r="A17" s="10"/>
      <c r="B17" s="17" t="s">
        <v>31</v>
      </c>
      <c r="C17" s="12" t="str">
        <f>'16'!E52</f>
        <v>-</v>
      </c>
      <c r="D17" s="13" t="str">
        <f>'16'!F52</f>
        <v>Хлеб вит. ржаной</v>
      </c>
      <c r="E17" s="12">
        <f>'16'!H52</f>
        <v>40</v>
      </c>
      <c r="F17" s="14">
        <f>'16'!I52</f>
        <v>3.6</v>
      </c>
      <c r="G17" s="15">
        <f>'16'!D52</f>
        <v>77.2</v>
      </c>
      <c r="H17" s="15">
        <f>'16'!A52</f>
        <v>2.64</v>
      </c>
      <c r="I17" s="15">
        <f>'16'!B52</f>
        <v>0.48</v>
      </c>
      <c r="J17" s="16">
        <f>'16'!C52</f>
        <v>13.36</v>
      </c>
    </row>
    <row r="18" spans="1:10" ht="15.75" thickBot="1" x14ac:dyDescent="0.3">
      <c r="A18" s="117"/>
      <c r="B18" s="118" t="s">
        <v>32</v>
      </c>
      <c r="C18" s="39">
        <f>'16'!E53</f>
        <v>0</v>
      </c>
      <c r="D18" s="47">
        <f>'16'!F53</f>
        <v>0</v>
      </c>
      <c r="E18" s="39">
        <f>'16'!H53</f>
        <v>0</v>
      </c>
      <c r="F18" s="41">
        <f>'16'!I53</f>
        <v>0</v>
      </c>
      <c r="G18" s="42">
        <f>'16'!D53</f>
        <v>0</v>
      </c>
      <c r="H18" s="42">
        <f>'16'!A53</f>
        <v>0</v>
      </c>
      <c r="I18" s="42">
        <f>'16'!B53</f>
        <v>0</v>
      </c>
      <c r="J18" s="43">
        <f>'16'!C53</f>
        <v>0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12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480">
        <v>16</v>
      </c>
      <c r="C1" s="480"/>
      <c r="D1" s="480"/>
      <c r="E1" t="s">
        <v>47</v>
      </c>
      <c r="F1" s="4"/>
      <c r="I1" t="s">
        <v>48</v>
      </c>
      <c r="J1" s="44">
        <v>45327</v>
      </c>
    </row>
    <row r="3" spans="1:10" x14ac:dyDescent="0.25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ht="30" x14ac:dyDescent="0.25">
      <c r="A4" s="105"/>
      <c r="B4" s="106" t="s">
        <v>54</v>
      </c>
      <c r="C4" s="12" t="str">
        <f>'16'!E57</f>
        <v>1*51</v>
      </c>
      <c r="D4" s="13" t="str">
        <f>'16'!F57</f>
        <v>Бутерброд с сыром и маслом 20/15/10</v>
      </c>
      <c r="E4" s="12">
        <f>'16'!H57</f>
        <v>45</v>
      </c>
      <c r="F4" s="14">
        <f>'16'!I57</f>
        <v>57.2</v>
      </c>
      <c r="G4" s="15">
        <f>'16'!D57</f>
        <v>164.15</v>
      </c>
      <c r="H4" s="15">
        <f>'16'!A57</f>
        <v>5.08</v>
      </c>
      <c r="I4" s="15">
        <f>'16'!B57</f>
        <v>11.55</v>
      </c>
      <c r="J4" s="16">
        <f>'16'!C57</f>
        <v>9.9700000000000006</v>
      </c>
    </row>
    <row r="5" spans="1:10" ht="30" x14ac:dyDescent="0.25">
      <c r="A5" s="10" t="s">
        <v>19</v>
      </c>
      <c r="B5" s="11" t="s">
        <v>21</v>
      </c>
      <c r="C5" s="12" t="str">
        <f>'16'!E58</f>
        <v>2/57</v>
      </c>
      <c r="D5" s="13" t="str">
        <f>'16'!F58</f>
        <v>Каша ячневая молочная с маслом сливочным</v>
      </c>
      <c r="E5" s="12">
        <f>'16'!H58</f>
        <v>250</v>
      </c>
      <c r="F5" s="14">
        <f>'16'!I58</f>
        <v>61.16</v>
      </c>
      <c r="G5" s="15">
        <f>'16'!D58</f>
        <v>321.17797790000003</v>
      </c>
      <c r="H5" s="15">
        <f>'16'!A58</f>
        <v>10.61</v>
      </c>
      <c r="I5" s="15">
        <f>'16'!B58</f>
        <v>10.17</v>
      </c>
      <c r="J5" s="16">
        <f>'16'!C58</f>
        <v>47.32</v>
      </c>
    </row>
    <row r="6" spans="1:10" x14ac:dyDescent="0.25">
      <c r="A6" s="10"/>
      <c r="B6" s="17"/>
      <c r="C6" s="12" t="str">
        <f>'16'!E59</f>
        <v>12*2</v>
      </c>
      <c r="D6" s="13" t="str">
        <f>'16'!F59</f>
        <v>Соус из малины</v>
      </c>
      <c r="E6" s="12">
        <f>'16'!H59</f>
        <v>40</v>
      </c>
      <c r="F6" s="14">
        <f>'16'!I59</f>
        <v>32.78</v>
      </c>
      <c r="G6" s="15">
        <f>'16'!D59</f>
        <v>46.4</v>
      </c>
      <c r="H6" s="15">
        <f>'16'!A59</f>
        <v>0.2</v>
      </c>
      <c r="I6" s="15">
        <f>'16'!B59</f>
        <v>0.12</v>
      </c>
      <c r="J6" s="16">
        <f>'16'!C59</f>
        <v>11.44</v>
      </c>
    </row>
    <row r="7" spans="1:10" s="80" customFormat="1" x14ac:dyDescent="0.25">
      <c r="A7" s="10"/>
      <c r="B7" s="107" t="s">
        <v>22</v>
      </c>
      <c r="C7" s="12" t="str">
        <f>'16'!E60</f>
        <v>11/59</v>
      </c>
      <c r="D7" s="13" t="str">
        <f>'16'!F60</f>
        <v>Кофейный напиток</v>
      </c>
      <c r="E7" s="12">
        <f>'16'!H60</f>
        <v>200</v>
      </c>
      <c r="F7" s="14">
        <f>'16'!I60</f>
        <v>22.2</v>
      </c>
      <c r="G7" s="15">
        <f>'16'!D60</f>
        <v>79</v>
      </c>
      <c r="H7" s="15">
        <f>'16'!A60</f>
        <v>1.4</v>
      </c>
      <c r="I7" s="15">
        <f>'16'!B60</f>
        <v>1.1000000000000001</v>
      </c>
      <c r="J7" s="16">
        <f>'16'!C60</f>
        <v>16.600000000000001</v>
      </c>
    </row>
    <row r="8" spans="1:10" x14ac:dyDescent="0.25">
      <c r="A8" s="10"/>
      <c r="B8" s="17" t="s">
        <v>54</v>
      </c>
      <c r="C8" s="12" t="str">
        <f>'16'!E61</f>
        <v>-</v>
      </c>
      <c r="D8" s="13" t="str">
        <f>'16'!F61</f>
        <v>Хлеб вит. ржаной</v>
      </c>
      <c r="E8" s="12">
        <f>'16'!H61</f>
        <v>40</v>
      </c>
      <c r="F8" s="14">
        <f>'16'!I61</f>
        <v>3.6</v>
      </c>
      <c r="G8" s="15">
        <f>'16'!D61</f>
        <v>77.2</v>
      </c>
      <c r="H8" s="15">
        <f>'16'!A61</f>
        <v>2.64</v>
      </c>
      <c r="I8" s="15">
        <f>'16'!B61</f>
        <v>0.48</v>
      </c>
      <c r="J8" s="16">
        <f>'16'!C61</f>
        <v>13.36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ht="45" x14ac:dyDescent="0.25">
      <c r="A12" s="21" t="s">
        <v>25</v>
      </c>
      <c r="B12" s="111" t="s">
        <v>26</v>
      </c>
      <c r="C12" s="112" t="str">
        <f>'16'!E63</f>
        <v>7/80</v>
      </c>
      <c r="D12" s="113" t="str">
        <f>'16'!F63</f>
        <v xml:space="preserve"> Салат из отварной  свеклы с сол. огурцом и куриным яйцом</v>
      </c>
      <c r="E12" s="112">
        <f>'16'!H63</f>
        <v>100</v>
      </c>
      <c r="F12" s="114">
        <f>'16'!I63</f>
        <v>52.76</v>
      </c>
      <c r="G12" s="115">
        <f>'16'!D63</f>
        <v>86.23</v>
      </c>
      <c r="H12" s="115">
        <f>'16'!A63</f>
        <v>1.29</v>
      </c>
      <c r="I12" s="115">
        <f>'16'!B63</f>
        <v>5.97</v>
      </c>
      <c r="J12" s="116">
        <f>'16'!C63</f>
        <v>7.97</v>
      </c>
    </row>
    <row r="13" spans="1:10" ht="30" x14ac:dyDescent="0.25">
      <c r="A13" s="10"/>
      <c r="B13" s="17" t="s">
        <v>27</v>
      </c>
      <c r="C13" s="12" t="str">
        <f>'16'!E64</f>
        <v>6/70</v>
      </c>
      <c r="D13" s="13" t="str">
        <f>'16'!F64</f>
        <v>Рассольник Ленинградский со сметаной</v>
      </c>
      <c r="E13" s="12">
        <f>'16'!H64</f>
        <v>250</v>
      </c>
      <c r="F13" s="14">
        <f>'16'!I64</f>
        <v>50</v>
      </c>
      <c r="G13" s="15">
        <f>'16'!D64</f>
        <v>208</v>
      </c>
      <c r="H13" s="15">
        <f>'16'!A64</f>
        <v>12.44</v>
      </c>
      <c r="I13" s="15">
        <f>'16'!B64</f>
        <v>7.77</v>
      </c>
      <c r="J13" s="16">
        <f>'16'!C64</f>
        <v>25.16</v>
      </c>
    </row>
    <row r="14" spans="1:10" ht="30" x14ac:dyDescent="0.25">
      <c r="A14" s="10"/>
      <c r="B14" s="17" t="s">
        <v>28</v>
      </c>
      <c r="C14" s="12" t="str">
        <f>'16'!E65</f>
        <v>8/35</v>
      </c>
      <c r="D14" s="13" t="str">
        <f>'16'!F65</f>
        <v>Жаркое по-домашнему со свининой</v>
      </c>
      <c r="E14" s="12">
        <f>'16'!H65</f>
        <v>250</v>
      </c>
      <c r="F14" s="14">
        <f>'16'!I65</f>
        <v>140.84</v>
      </c>
      <c r="G14" s="15">
        <f>'16'!D65</f>
        <v>508.5</v>
      </c>
      <c r="H14" s="15">
        <f>'16'!A65</f>
        <v>19.440000000000001</v>
      </c>
      <c r="I14" s="15">
        <f>'16'!B65</f>
        <v>21.37</v>
      </c>
      <c r="J14" s="16">
        <f>'16'!C65</f>
        <v>55.36</v>
      </c>
    </row>
    <row r="15" spans="1:10" ht="30" x14ac:dyDescent="0.25">
      <c r="A15" s="10"/>
      <c r="B15" s="17" t="s">
        <v>29</v>
      </c>
      <c r="C15" s="12" t="str">
        <f>'16'!E66</f>
        <v>11/1</v>
      </c>
      <c r="D15" s="13" t="str">
        <f>'16'!F66</f>
        <v>Напиток ассорти из красных ягод</v>
      </c>
      <c r="E15" s="12">
        <f>'16'!H66</f>
        <v>200</v>
      </c>
      <c r="F15" s="14">
        <f>'16'!I66</f>
        <v>12.8</v>
      </c>
      <c r="G15" s="15">
        <f>'16'!D66</f>
        <v>83.962620000000015</v>
      </c>
      <c r="H15" s="15">
        <f>'16'!A66</f>
        <v>0.14000000000000001</v>
      </c>
      <c r="I15" s="15">
        <f>'16'!B66</f>
        <v>0.1</v>
      </c>
      <c r="J15" s="16">
        <f>'16'!C66</f>
        <v>1.5</v>
      </c>
    </row>
    <row r="16" spans="1:10" x14ac:dyDescent="0.25">
      <c r="A16" s="10"/>
      <c r="B16" s="17" t="s">
        <v>30</v>
      </c>
      <c r="C16" s="12" t="str">
        <f>'16'!E67</f>
        <v>-</v>
      </c>
      <c r="D16" s="13" t="str">
        <f>'16'!F67</f>
        <v>Хлеб вит. пшеничный</v>
      </c>
      <c r="E16" s="12">
        <f>'16'!H67</f>
        <v>50</v>
      </c>
      <c r="F16" s="14">
        <f>'16'!I67</f>
        <v>4.5</v>
      </c>
      <c r="G16" s="15">
        <f>'16'!D67</f>
        <v>112</v>
      </c>
      <c r="H16" s="15">
        <f>'16'!A67</f>
        <v>3.3</v>
      </c>
      <c r="I16" s="15">
        <f>'16'!B67</f>
        <v>0.3</v>
      </c>
      <c r="J16" s="16">
        <f>'16'!C67</f>
        <v>23.4</v>
      </c>
    </row>
    <row r="17" spans="1:10" x14ac:dyDescent="0.25">
      <c r="A17" s="10"/>
      <c r="B17" s="17" t="s">
        <v>31</v>
      </c>
      <c r="C17" s="12" t="str">
        <f>'16'!E68</f>
        <v>-</v>
      </c>
      <c r="D17" s="13" t="str">
        <f>'16'!F68</f>
        <v>Хлеб вит. ржаной</v>
      </c>
      <c r="E17" s="12">
        <f>'16'!H68</f>
        <v>50</v>
      </c>
      <c r="F17" s="14">
        <f>'16'!I68</f>
        <v>4.5</v>
      </c>
      <c r="G17" s="15">
        <f>'16'!D68</f>
        <v>96.5</v>
      </c>
      <c r="H17" s="15">
        <f>'16'!A68</f>
        <v>3.3</v>
      </c>
      <c r="I17" s="15">
        <f>'16'!B68</f>
        <v>0.6</v>
      </c>
      <c r="J17" s="16">
        <f>'16'!C68</f>
        <v>16.7</v>
      </c>
    </row>
    <row r="18" spans="1:10" ht="15.75" thickBot="1" x14ac:dyDescent="0.3">
      <c r="A18" s="117"/>
      <c r="B18" s="118" t="s">
        <v>32</v>
      </c>
      <c r="C18" s="39">
        <f>'16'!E69</f>
        <v>0</v>
      </c>
      <c r="D18" s="47">
        <f>'16'!F69</f>
        <v>0</v>
      </c>
      <c r="E18" s="39">
        <f>'16'!H69</f>
        <v>0</v>
      </c>
      <c r="F18" s="41">
        <f>'16'!I69</f>
        <v>0</v>
      </c>
      <c r="G18" s="42">
        <f>'16'!D69</f>
        <v>0</v>
      </c>
      <c r="H18" s="42">
        <f>'16'!A69</f>
        <v>0</v>
      </c>
      <c r="I18" s="42">
        <f>'16'!B69</f>
        <v>0</v>
      </c>
      <c r="J18" s="43">
        <f>'16'!C69</f>
        <v>0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13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480">
        <v>17</v>
      </c>
      <c r="C1" s="480"/>
      <c r="D1" s="480"/>
      <c r="E1" t="s">
        <v>47</v>
      </c>
      <c r="F1" s="4"/>
      <c r="I1" t="s">
        <v>48</v>
      </c>
      <c r="J1" s="44">
        <v>45327</v>
      </c>
    </row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1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s="80" customFormat="1" x14ac:dyDescent="0.25">
      <c r="A7" s="10"/>
      <c r="B7" s="107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s="80" customFormat="1" ht="15.75" thickBot="1" x14ac:dyDescent="0.3">
      <c r="A8" s="10"/>
      <c r="B8" s="107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e">
        <f>#REF!</f>
        <v>#REF!</v>
      </c>
      <c r="D12" s="113" t="e">
        <f>#REF!</f>
        <v>#REF!</v>
      </c>
      <c r="E12" s="112" t="e">
        <f>#REF!</f>
        <v>#REF!</v>
      </c>
      <c r="F12" s="114" t="e">
        <f>#REF!</f>
        <v>#REF!</v>
      </c>
      <c r="G12" s="115" t="e">
        <f>#REF!</f>
        <v>#REF!</v>
      </c>
      <c r="H12" s="115" t="e">
        <f>#REF!</f>
        <v>#REF!</v>
      </c>
      <c r="I12" s="115" t="e">
        <f>#REF!</f>
        <v>#REF!</v>
      </c>
      <c r="J12" s="1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7"/>
      <c r="B18" s="118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Лист14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480">
        <v>17</v>
      </c>
      <c r="C1" s="480"/>
      <c r="D1" s="480"/>
      <c r="E1" t="s">
        <v>47</v>
      </c>
      <c r="F1" s="4"/>
      <c r="I1" t="s">
        <v>48</v>
      </c>
      <c r="J1" s="44">
        <v>45327</v>
      </c>
    </row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1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7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s="80" customFormat="1" ht="15.75" thickBot="1" x14ac:dyDescent="0.3">
      <c r="A8" s="10"/>
      <c r="B8" s="107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e">
        <f>#REF!</f>
        <v>#REF!</v>
      </c>
      <c r="D12" s="113" t="e">
        <f>#REF!</f>
        <v>#REF!</v>
      </c>
      <c r="E12" s="112" t="e">
        <f>#REF!</f>
        <v>#REF!</v>
      </c>
      <c r="F12" s="114" t="e">
        <f>#REF!</f>
        <v>#REF!</v>
      </c>
      <c r="G12" s="115" t="e">
        <f>#REF!</f>
        <v>#REF!</v>
      </c>
      <c r="H12" s="115" t="e">
        <f>#REF!</f>
        <v>#REF!</v>
      </c>
      <c r="I12" s="115" t="e">
        <f>#REF!</f>
        <v>#REF!</v>
      </c>
      <c r="J12" s="1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7"/>
      <c r="B18" s="118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15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480">
        <v>19</v>
      </c>
      <c r="C1" s="480"/>
      <c r="D1" s="480"/>
      <c r="E1" t="s">
        <v>47</v>
      </c>
      <c r="F1" s="4"/>
      <c r="I1" t="s">
        <v>48</v>
      </c>
      <c r="J1" s="44">
        <v>45327</v>
      </c>
    </row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7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7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s="80" customFormat="1" ht="15.75" thickBot="1" x14ac:dyDescent="0.3">
      <c r="A8" s="10"/>
      <c r="B8" s="107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e">
        <f>#REF!</f>
        <v>#REF!</v>
      </c>
      <c r="D12" s="113" t="e">
        <f>#REF!</f>
        <v>#REF!</v>
      </c>
      <c r="E12" s="112" t="e">
        <f>#REF!</f>
        <v>#REF!</v>
      </c>
      <c r="F12" s="114" t="e">
        <f>#REF!</f>
        <v>#REF!</v>
      </c>
      <c r="G12" s="115" t="e">
        <f>#REF!</f>
        <v>#REF!</v>
      </c>
      <c r="H12" s="115" t="e">
        <f>#REF!</f>
        <v>#REF!</v>
      </c>
      <c r="I12" s="115" t="e">
        <f>#REF!</f>
        <v>#REF!</v>
      </c>
      <c r="J12" s="1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7"/>
      <c r="B18" s="118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Лист16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480">
        <v>19</v>
      </c>
      <c r="C1" s="480"/>
      <c r="D1" s="480"/>
      <c r="E1" t="s">
        <v>47</v>
      </c>
      <c r="F1" s="4"/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1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7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s="80" customFormat="1" ht="15.75" thickBot="1" x14ac:dyDescent="0.3">
      <c r="A8" s="10"/>
      <c r="B8" s="107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e">
        <f>#REF!</f>
        <v>#REF!</v>
      </c>
      <c r="D12" s="113" t="e">
        <f>#REF!</f>
        <v>#REF!</v>
      </c>
      <c r="E12" s="112" t="e">
        <f>#REF!</f>
        <v>#REF!</v>
      </c>
      <c r="F12" s="114" t="e">
        <f>#REF!</f>
        <v>#REF!</v>
      </c>
      <c r="G12" s="115" t="e">
        <f>#REF!</f>
        <v>#REF!</v>
      </c>
      <c r="H12" s="115" t="e">
        <f>#REF!</f>
        <v>#REF!</v>
      </c>
      <c r="I12" s="115" t="e">
        <f>#REF!</f>
        <v>#REF!</v>
      </c>
      <c r="J12" s="1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7"/>
      <c r="B18" s="118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Лист17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480">
        <v>64</v>
      </c>
      <c r="C1" s="480"/>
      <c r="D1" s="480"/>
      <c r="E1" t="s">
        <v>47</v>
      </c>
      <c r="F1" s="4"/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7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7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s="80" customFormat="1" ht="15.75" thickBot="1" x14ac:dyDescent="0.3">
      <c r="A8" s="10"/>
      <c r="B8" s="107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e">
        <f>#REF!</f>
        <v>#REF!</v>
      </c>
      <c r="D12" s="113" t="e">
        <f>#REF!</f>
        <v>#REF!</v>
      </c>
      <c r="E12" s="112" t="e">
        <f>#REF!</f>
        <v>#REF!</v>
      </c>
      <c r="F12" s="114" t="e">
        <f>#REF!</f>
        <v>#REF!</v>
      </c>
      <c r="G12" s="115" t="e">
        <f>#REF!</f>
        <v>#REF!</v>
      </c>
      <c r="H12" s="115" t="e">
        <f>#REF!</f>
        <v>#REF!</v>
      </c>
      <c r="I12" s="115" t="e">
        <f>#REF!</f>
        <v>#REF!</v>
      </c>
      <c r="J12" s="1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7"/>
      <c r="B18" s="118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Лист18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480">
        <v>64</v>
      </c>
      <c r="C1" s="480"/>
      <c r="D1" s="480"/>
      <c r="E1" t="s">
        <v>47</v>
      </c>
      <c r="F1" s="4"/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1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7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s="80" customFormat="1" ht="15.75" thickBot="1" x14ac:dyDescent="0.3">
      <c r="A8" s="10"/>
      <c r="B8" s="107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e">
        <f>#REF!</f>
        <v>#REF!</v>
      </c>
      <c r="D12" s="113" t="e">
        <f>#REF!</f>
        <v>#REF!</v>
      </c>
      <c r="E12" s="112" t="e">
        <f>#REF!</f>
        <v>#REF!</v>
      </c>
      <c r="F12" s="114" t="e">
        <f>#REF!</f>
        <v>#REF!</v>
      </c>
      <c r="G12" s="115" t="e">
        <f>#REF!</f>
        <v>#REF!</v>
      </c>
      <c r="H12" s="115" t="e">
        <f>#REF!</f>
        <v>#REF!</v>
      </c>
      <c r="I12" s="115" t="e">
        <f>#REF!</f>
        <v>#REF!</v>
      </c>
      <c r="J12" s="1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7"/>
      <c r="B18" s="118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Лист19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480">
        <v>85</v>
      </c>
      <c r="C1" s="480"/>
      <c r="D1" s="480"/>
      <c r="E1" t="s">
        <v>47</v>
      </c>
      <c r="F1" s="4"/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1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7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ht="15.75" thickBot="1" x14ac:dyDescent="0.3">
      <c r="A8" s="10"/>
      <c r="B8" s="108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e">
        <f>#REF!</f>
        <v>#REF!</v>
      </c>
      <c r="D12" s="113" t="e">
        <f>#REF!</f>
        <v>#REF!</v>
      </c>
      <c r="E12" s="112" t="e">
        <f>#REF!</f>
        <v>#REF!</v>
      </c>
      <c r="F12" s="114" t="e">
        <f>#REF!</f>
        <v>#REF!</v>
      </c>
      <c r="G12" s="115" t="e">
        <f>#REF!</f>
        <v>#REF!</v>
      </c>
      <c r="H12" s="115" t="e">
        <f>#REF!</f>
        <v>#REF!</v>
      </c>
      <c r="I12" s="115" t="e">
        <f>#REF!</f>
        <v>#REF!</v>
      </c>
      <c r="J12" s="1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7"/>
      <c r="B18" s="118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Лист20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480">
        <v>85</v>
      </c>
      <c r="C1" s="480"/>
      <c r="D1" s="480"/>
      <c r="E1" t="s">
        <v>47</v>
      </c>
      <c r="F1" s="4"/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1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7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ht="15.75" thickBot="1" x14ac:dyDescent="0.3">
      <c r="A8" s="10"/>
      <c r="B8" s="108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e">
        <f>#REF!</f>
        <v>#REF!</v>
      </c>
      <c r="D12" s="113" t="e">
        <f>#REF!</f>
        <v>#REF!</v>
      </c>
      <c r="E12" s="112" t="e">
        <f>#REF!</f>
        <v>#REF!</v>
      </c>
      <c r="F12" s="114" t="e">
        <f>#REF!</f>
        <v>#REF!</v>
      </c>
      <c r="G12" s="115" t="e">
        <f>#REF!</f>
        <v>#REF!</v>
      </c>
      <c r="H12" s="115" t="e">
        <f>#REF!</f>
        <v>#REF!</v>
      </c>
      <c r="I12" s="115" t="e">
        <f>#REF!</f>
        <v>#REF!</v>
      </c>
      <c r="J12" s="1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7"/>
      <c r="B18" s="118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Лист22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5" width="10.28515625" customWidth="1"/>
    <col min="6" max="6" width="9.570312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480">
        <v>109</v>
      </c>
      <c r="C1" s="480"/>
      <c r="D1" s="480"/>
      <c r="E1" t="s">
        <v>47</v>
      </c>
      <c r="F1" s="4" t="s">
        <v>68</v>
      </c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7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7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ht="15.75" thickBot="1" x14ac:dyDescent="0.3">
      <c r="A8" s="10"/>
      <c r="B8" s="108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e">
        <f>#REF!</f>
        <v>#REF!</v>
      </c>
      <c r="D12" s="113" t="e">
        <f>#REF!</f>
        <v>#REF!</v>
      </c>
      <c r="E12" s="112" t="e">
        <f>#REF!</f>
        <v>#REF!</v>
      </c>
      <c r="F12" s="114" t="e">
        <f>#REF!</f>
        <v>#REF!</v>
      </c>
      <c r="G12" s="115" t="e">
        <f>#REF!</f>
        <v>#REF!</v>
      </c>
      <c r="H12" s="115" t="e">
        <f>#REF!</f>
        <v>#REF!</v>
      </c>
      <c r="I12" s="115" t="e">
        <f>#REF!</f>
        <v>#REF!</v>
      </c>
      <c r="J12" s="1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7"/>
      <c r="B18" s="118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Лист21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5" width="10.28515625" customWidth="1"/>
    <col min="6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480">
        <v>109</v>
      </c>
      <c r="C1" s="480"/>
      <c r="D1" s="480"/>
      <c r="E1" t="s">
        <v>47</v>
      </c>
      <c r="F1" s="4" t="s">
        <v>67</v>
      </c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7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7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ht="15.75" thickBot="1" x14ac:dyDescent="0.3">
      <c r="A8" s="10"/>
      <c r="B8" s="108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e">
        <f>#REF!</f>
        <v>#REF!</v>
      </c>
      <c r="D12" s="113" t="e">
        <f>#REF!</f>
        <v>#REF!</v>
      </c>
      <c r="E12" s="112" t="e">
        <f>#REF!</f>
        <v>#REF!</v>
      </c>
      <c r="F12" s="114" t="e">
        <f>#REF!</f>
        <v>#REF!</v>
      </c>
      <c r="G12" s="115" t="e">
        <f>#REF!</f>
        <v>#REF!</v>
      </c>
      <c r="H12" s="115" t="e">
        <f>#REF!</f>
        <v>#REF!</v>
      </c>
      <c r="I12" s="115" t="e">
        <f>#REF!</f>
        <v>#REF!</v>
      </c>
      <c r="J12" s="1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7"/>
      <c r="B18" s="118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Лист23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5" width="10.28515625" customWidth="1"/>
    <col min="6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480">
        <v>181</v>
      </c>
      <c r="C1" s="480"/>
      <c r="D1" s="480"/>
      <c r="E1" t="s">
        <v>47</v>
      </c>
      <c r="F1" s="4" t="s">
        <v>67</v>
      </c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7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7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ht="15.75" thickBot="1" x14ac:dyDescent="0.3">
      <c r="A8" s="10"/>
      <c r="B8" s="108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e">
        <f>#REF!</f>
        <v>#REF!</v>
      </c>
      <c r="D12" s="113" t="e">
        <f>#REF!</f>
        <v>#REF!</v>
      </c>
      <c r="E12" s="112" t="e">
        <f>#REF!</f>
        <v>#REF!</v>
      </c>
      <c r="F12" s="114" t="e">
        <f>#REF!</f>
        <v>#REF!</v>
      </c>
      <c r="G12" s="115" t="e">
        <f>#REF!</f>
        <v>#REF!</v>
      </c>
      <c r="H12" s="115" t="e">
        <f>#REF!</f>
        <v>#REF!</v>
      </c>
      <c r="I12" s="115" t="e">
        <f>#REF!</f>
        <v>#REF!</v>
      </c>
      <c r="J12" s="1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ht="29.25" customHeight="1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7"/>
      <c r="B18" s="118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Лист24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27.85546875" customWidth="1"/>
    <col min="5" max="5" width="10.28515625" customWidth="1"/>
    <col min="6" max="6" width="9.570312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480">
        <v>181</v>
      </c>
      <c r="C1" s="480"/>
      <c r="D1" s="480"/>
      <c r="E1" t="s">
        <v>47</v>
      </c>
      <c r="F1" s="4" t="s">
        <v>68</v>
      </c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e">
        <f>#REF!</f>
        <v>#REF!</v>
      </c>
      <c r="D4" s="13" t="e">
        <f>#REF!</f>
        <v>#REF!</v>
      </c>
      <c r="E4" s="12" t="e">
        <f>#REF!</f>
        <v>#REF!</v>
      </c>
      <c r="F4" s="14" t="e">
        <f>#REF!</f>
        <v>#REF!</v>
      </c>
      <c r="G4" s="15" t="e">
        <f>#REF!</f>
        <v>#REF!</v>
      </c>
      <c r="H4" s="15" t="e">
        <f>#REF!</f>
        <v>#REF!</v>
      </c>
      <c r="I4" s="15" t="e">
        <f>#REF!</f>
        <v>#REF!</v>
      </c>
      <c r="J4" s="16" t="e">
        <f>#REF!</f>
        <v>#REF!</v>
      </c>
    </row>
    <row r="5" spans="1:10" x14ac:dyDescent="0.25">
      <c r="A5" s="10" t="s">
        <v>19</v>
      </c>
      <c r="B5" s="11" t="s">
        <v>21</v>
      </c>
      <c r="C5" s="12" t="e">
        <f>#REF!</f>
        <v>#REF!</v>
      </c>
      <c r="D5" s="13" t="e">
        <f>#REF!</f>
        <v>#REF!</v>
      </c>
      <c r="E5" s="12" t="e">
        <f>#REF!</f>
        <v>#REF!</v>
      </c>
      <c r="F5" s="14" t="e">
        <f>#REF!</f>
        <v>#REF!</v>
      </c>
      <c r="G5" s="15" t="e">
        <f>#REF!</f>
        <v>#REF!</v>
      </c>
      <c r="H5" s="15" t="e">
        <f>#REF!</f>
        <v>#REF!</v>
      </c>
      <c r="I5" s="15" t="e">
        <f>#REF!</f>
        <v>#REF!</v>
      </c>
      <c r="J5" s="16" t="e">
        <f>#REF!</f>
        <v>#REF!</v>
      </c>
    </row>
    <row r="6" spans="1:10" x14ac:dyDescent="0.25">
      <c r="A6" s="10"/>
      <c r="B6" s="17"/>
      <c r="C6" s="12" t="e">
        <f>#REF!</f>
        <v>#REF!</v>
      </c>
      <c r="D6" s="13" t="e">
        <f>#REF!</f>
        <v>#REF!</v>
      </c>
      <c r="E6" s="12" t="e">
        <f>#REF!</f>
        <v>#REF!</v>
      </c>
      <c r="F6" s="14" t="e">
        <f>#REF!</f>
        <v>#REF!</v>
      </c>
      <c r="G6" s="15" t="e">
        <f>#REF!</f>
        <v>#REF!</v>
      </c>
      <c r="H6" s="15" t="e">
        <f>#REF!</f>
        <v>#REF!</v>
      </c>
      <c r="I6" s="15" t="e">
        <f>#REF!</f>
        <v>#REF!</v>
      </c>
      <c r="J6" s="16" t="e">
        <f>#REF!</f>
        <v>#REF!</v>
      </c>
    </row>
    <row r="7" spans="1:10" x14ac:dyDescent="0.25">
      <c r="A7" s="10"/>
      <c r="B7" s="107" t="s">
        <v>22</v>
      </c>
      <c r="C7" s="12" t="e">
        <f>#REF!</f>
        <v>#REF!</v>
      </c>
      <c r="D7" s="13" t="e">
        <f>#REF!</f>
        <v>#REF!</v>
      </c>
      <c r="E7" s="12" t="e">
        <f>#REF!</f>
        <v>#REF!</v>
      </c>
      <c r="F7" s="14" t="e">
        <f>#REF!</f>
        <v>#REF!</v>
      </c>
      <c r="G7" s="15" t="e">
        <f>#REF!</f>
        <v>#REF!</v>
      </c>
      <c r="H7" s="15" t="e">
        <f>#REF!</f>
        <v>#REF!</v>
      </c>
      <c r="I7" s="15" t="e">
        <f>#REF!</f>
        <v>#REF!</v>
      </c>
      <c r="J7" s="16" t="e">
        <f>#REF!</f>
        <v>#REF!</v>
      </c>
    </row>
    <row r="8" spans="1:10" ht="15.75" thickBot="1" x14ac:dyDescent="0.3">
      <c r="A8" s="10"/>
      <c r="B8" s="108" t="s">
        <v>54</v>
      </c>
      <c r="C8" s="12" t="e">
        <f>#REF!</f>
        <v>#REF!</v>
      </c>
      <c r="D8" s="13" t="e">
        <f>#REF!</f>
        <v>#REF!</v>
      </c>
      <c r="E8" s="12" t="e">
        <f>#REF!</f>
        <v>#REF!</v>
      </c>
      <c r="F8" s="14" t="e">
        <f>#REF!</f>
        <v>#REF!</v>
      </c>
      <c r="G8" s="15" t="e">
        <f>#REF!</f>
        <v>#REF!</v>
      </c>
      <c r="H8" s="15" t="e">
        <f>#REF!</f>
        <v>#REF!</v>
      </c>
      <c r="I8" s="15" t="e">
        <f>#REF!</f>
        <v>#REF!</v>
      </c>
      <c r="J8" s="16" t="e">
        <f>#REF!</f>
        <v>#REF!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e">
        <f>#REF!</f>
        <v>#REF!</v>
      </c>
      <c r="D12" s="113" t="e">
        <f>#REF!</f>
        <v>#REF!</v>
      </c>
      <c r="E12" s="112" t="e">
        <f>#REF!</f>
        <v>#REF!</v>
      </c>
      <c r="F12" s="114" t="e">
        <f>#REF!</f>
        <v>#REF!</v>
      </c>
      <c r="G12" s="115" t="e">
        <f>#REF!</f>
        <v>#REF!</v>
      </c>
      <c r="H12" s="115" t="e">
        <f>#REF!</f>
        <v>#REF!</v>
      </c>
      <c r="I12" s="115" t="e">
        <f>#REF!</f>
        <v>#REF!</v>
      </c>
      <c r="J12" s="116" t="e">
        <f>#REF!</f>
        <v>#REF!</v>
      </c>
    </row>
    <row r="13" spans="1:10" x14ac:dyDescent="0.25">
      <c r="A13" s="10"/>
      <c r="B13" s="17" t="s">
        <v>27</v>
      </c>
      <c r="C13" s="12" t="e">
        <f>#REF!</f>
        <v>#REF!</v>
      </c>
      <c r="D13" s="13" t="e">
        <f>#REF!</f>
        <v>#REF!</v>
      </c>
      <c r="E13" s="12" t="e">
        <f>#REF!</f>
        <v>#REF!</v>
      </c>
      <c r="F13" s="14" t="e">
        <f>#REF!</f>
        <v>#REF!</v>
      </c>
      <c r="G13" s="15" t="e">
        <f>#REF!</f>
        <v>#REF!</v>
      </c>
      <c r="H13" s="15" t="e">
        <f>#REF!</f>
        <v>#REF!</v>
      </c>
      <c r="I13" s="15" t="e">
        <f>#REF!</f>
        <v>#REF!</v>
      </c>
      <c r="J13" s="16" t="e">
        <f>#REF!</f>
        <v>#REF!</v>
      </c>
    </row>
    <row r="14" spans="1:10" x14ac:dyDescent="0.25">
      <c r="A14" s="10"/>
      <c r="B14" s="17" t="s">
        <v>28</v>
      </c>
      <c r="C14" s="12" t="e">
        <f>#REF!</f>
        <v>#REF!</v>
      </c>
      <c r="D14" s="13" t="e">
        <f>#REF!</f>
        <v>#REF!</v>
      </c>
      <c r="E14" s="12" t="e">
        <f>#REF!</f>
        <v>#REF!</v>
      </c>
      <c r="F14" s="14" t="e">
        <f>#REF!</f>
        <v>#REF!</v>
      </c>
      <c r="G14" s="15" t="e">
        <f>#REF!</f>
        <v>#REF!</v>
      </c>
      <c r="H14" s="15" t="e">
        <f>#REF!</f>
        <v>#REF!</v>
      </c>
      <c r="I14" s="15" t="e">
        <f>#REF!</f>
        <v>#REF!</v>
      </c>
      <c r="J14" s="16" t="e">
        <f>#REF!</f>
        <v>#REF!</v>
      </c>
    </row>
    <row r="15" spans="1:10" x14ac:dyDescent="0.25">
      <c r="A15" s="10"/>
      <c r="B15" s="17" t="s">
        <v>29</v>
      </c>
      <c r="C15" s="12" t="e">
        <f>#REF!</f>
        <v>#REF!</v>
      </c>
      <c r="D15" s="13" t="e">
        <f>#REF!</f>
        <v>#REF!</v>
      </c>
      <c r="E15" s="12" t="e">
        <f>#REF!</f>
        <v>#REF!</v>
      </c>
      <c r="F15" s="14" t="e">
        <f>#REF!</f>
        <v>#REF!</v>
      </c>
      <c r="G15" s="15" t="e">
        <f>#REF!</f>
        <v>#REF!</v>
      </c>
      <c r="H15" s="15" t="e">
        <f>#REF!</f>
        <v>#REF!</v>
      </c>
      <c r="I15" s="15" t="e">
        <f>#REF!</f>
        <v>#REF!</v>
      </c>
      <c r="J15" s="16" t="e">
        <f>#REF!</f>
        <v>#REF!</v>
      </c>
    </row>
    <row r="16" spans="1:10" x14ac:dyDescent="0.25">
      <c r="A16" s="10"/>
      <c r="B16" s="17" t="s">
        <v>30</v>
      </c>
      <c r="C16" s="12" t="e">
        <f>#REF!</f>
        <v>#REF!</v>
      </c>
      <c r="D16" s="13" t="e">
        <f>#REF!</f>
        <v>#REF!</v>
      </c>
      <c r="E16" s="12" t="e">
        <f>#REF!</f>
        <v>#REF!</v>
      </c>
      <c r="F16" s="14" t="e">
        <f>#REF!</f>
        <v>#REF!</v>
      </c>
      <c r="G16" s="15" t="e">
        <f>#REF!</f>
        <v>#REF!</v>
      </c>
      <c r="H16" s="15" t="e">
        <f>#REF!</f>
        <v>#REF!</v>
      </c>
      <c r="I16" s="15" t="e">
        <f>#REF!</f>
        <v>#REF!</v>
      </c>
      <c r="J16" s="16" t="e">
        <f>#REF!</f>
        <v>#REF!</v>
      </c>
    </row>
    <row r="17" spans="1:10" x14ac:dyDescent="0.25">
      <c r="A17" s="10"/>
      <c r="B17" s="17" t="s">
        <v>31</v>
      </c>
      <c r="C17" s="12" t="e">
        <f>#REF!</f>
        <v>#REF!</v>
      </c>
      <c r="D17" s="13" t="e">
        <f>#REF!</f>
        <v>#REF!</v>
      </c>
      <c r="E17" s="12" t="e">
        <f>#REF!</f>
        <v>#REF!</v>
      </c>
      <c r="F17" s="14" t="e">
        <f>#REF!</f>
        <v>#REF!</v>
      </c>
      <c r="G17" s="15" t="e">
        <f>#REF!</f>
        <v>#REF!</v>
      </c>
      <c r="H17" s="15" t="e">
        <f>#REF!</f>
        <v>#REF!</v>
      </c>
      <c r="I17" s="15" t="e">
        <f>#REF!</f>
        <v>#REF!</v>
      </c>
      <c r="J17" s="16" t="e">
        <f>#REF!</f>
        <v>#REF!</v>
      </c>
    </row>
    <row r="18" spans="1:10" ht="15.75" thickBot="1" x14ac:dyDescent="0.3">
      <c r="A18" s="117"/>
      <c r="B18" s="118" t="s">
        <v>32</v>
      </c>
      <c r="C18" s="39" t="e">
        <f>#REF!</f>
        <v>#REF!</v>
      </c>
      <c r="D18" s="47" t="e">
        <f>#REF!</f>
        <v>#REF!</v>
      </c>
      <c r="E18" s="39" t="e">
        <f>#REF!</f>
        <v>#REF!</v>
      </c>
      <c r="F18" s="41" t="e">
        <f>#REF!</f>
        <v>#REF!</v>
      </c>
      <c r="G18" s="42" t="e">
        <f>#REF!</f>
        <v>#REF!</v>
      </c>
      <c r="H18" s="42" t="e">
        <f>#REF!</f>
        <v>#REF!</v>
      </c>
      <c r="I18" s="42" t="e">
        <f>#REF!</f>
        <v>#REF!</v>
      </c>
      <c r="J18" s="43" t="e">
        <f>#REF!</f>
        <v>#REF!</v>
      </c>
    </row>
  </sheetData>
  <mergeCells count="1">
    <mergeCell ref="B1:D1"/>
  </mergeCells>
  <pageMargins left="0.70833333333333304" right="0.70833333333333304" top="0.74791666666666701" bottom="0.74791666666666701" header="0.51180555555555496" footer="0.51180555555555496"/>
  <pageSetup paperSize="9" scale="91" firstPageNumber="0" orientation="landscape" horizontalDpi="300" verticalDpi="30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Лист25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55" bestFit="1" customWidth="1"/>
    <col min="5" max="5" width="10.28515625" customWidth="1"/>
    <col min="6" max="6" width="9.570312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480" t="s">
        <v>69</v>
      </c>
      <c r="C1" s="480"/>
      <c r="D1" s="480"/>
      <c r="E1" t="s">
        <v>47</v>
      </c>
      <c r="F1" s="4"/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str">
        <f>'Арт-Этюд'!E63</f>
        <v>1/57</v>
      </c>
      <c r="D4" s="20" t="str">
        <f>'Арт-Этюд'!F63</f>
        <v>Бутерброд с сыром и маслом сливочным на батоне витаминизированном 20/10/10 г</v>
      </c>
      <c r="E4" s="12">
        <f>'Арт-Этюд'!H63</f>
        <v>40</v>
      </c>
      <c r="F4" s="14">
        <f>'Арт-Этюд'!I63</f>
        <v>49.55</v>
      </c>
      <c r="G4" s="15">
        <f>'Арт-Этюд'!D63</f>
        <v>213</v>
      </c>
      <c r="H4" s="15">
        <f>'Арт-Этюд'!A63</f>
        <v>5.13</v>
      </c>
      <c r="I4" s="15">
        <f>'Арт-Этюд'!B63</f>
        <v>6.15</v>
      </c>
      <c r="J4" s="16">
        <f>'Арт-Этюд'!C63</f>
        <v>19.7</v>
      </c>
    </row>
    <row r="5" spans="1:10" x14ac:dyDescent="0.25">
      <c r="A5" s="10" t="s">
        <v>19</v>
      </c>
      <c r="B5" s="11" t="s">
        <v>21</v>
      </c>
      <c r="C5" s="12" t="str">
        <f>'Арт-Этюд'!E64</f>
        <v>2/57</v>
      </c>
      <c r="D5" s="20" t="str">
        <f>'Арт-Этюд'!F64</f>
        <v>Каша ячневая молочная с маслом сливочным</v>
      </c>
      <c r="E5" s="12">
        <f>'Арт-Этюд'!H64</f>
        <v>210</v>
      </c>
      <c r="F5" s="14">
        <f>'Арт-Этюд'!I64</f>
        <v>51.38</v>
      </c>
      <c r="G5" s="15">
        <f>'Арт-Этюд'!D64</f>
        <v>169.5</v>
      </c>
      <c r="H5" s="15">
        <f>'Арт-Этюд'!A64</f>
        <v>9.7799999999999994</v>
      </c>
      <c r="I5" s="15">
        <f>'Арт-Этюд'!B64</f>
        <v>10.9</v>
      </c>
      <c r="J5" s="16">
        <f>'Арт-Этюд'!C64</f>
        <v>31.2</v>
      </c>
    </row>
    <row r="6" spans="1:10" x14ac:dyDescent="0.25">
      <c r="A6" s="10"/>
      <c r="B6" s="17"/>
      <c r="C6" s="12" t="str">
        <f>'Арт-Этюд'!E65</f>
        <v>12/8</v>
      </c>
      <c r="D6" s="20" t="str">
        <f>'Арт-Этюд'!F65</f>
        <v>Соус из голубики</v>
      </c>
      <c r="E6" s="12">
        <f>'Арт-Этюд'!H65</f>
        <v>30</v>
      </c>
      <c r="F6" s="14">
        <f>'Арт-Этюд'!I65</f>
        <v>24.59</v>
      </c>
      <c r="G6" s="15">
        <f>'Арт-Этюд'!D65</f>
        <v>36.144007500000008</v>
      </c>
      <c r="H6" s="15">
        <f>'Арт-Этюд'!A65</f>
        <v>0</v>
      </c>
      <c r="I6" s="15">
        <f>'Арт-Этюд'!B65</f>
        <v>0</v>
      </c>
      <c r="J6" s="16">
        <f>'Арт-Этюд'!C65</f>
        <v>1.2</v>
      </c>
    </row>
    <row r="7" spans="1:10" x14ac:dyDescent="0.25">
      <c r="A7" s="10"/>
      <c r="B7" s="107" t="s">
        <v>22</v>
      </c>
      <c r="C7" s="12" t="str">
        <f>'Арт-Этюд'!E66</f>
        <v>11/59</v>
      </c>
      <c r="D7" s="20" t="str">
        <f>'Арт-Этюд'!F66</f>
        <v>Кофейный напиток</v>
      </c>
      <c r="E7" s="12">
        <f>'Арт-Этюд'!H66</f>
        <v>200</v>
      </c>
      <c r="F7" s="14">
        <f>'Арт-Этюд'!I66</f>
        <v>22.2</v>
      </c>
      <c r="G7" s="15">
        <f>'Арт-Этюд'!D66</f>
        <v>129.56904800000001</v>
      </c>
      <c r="H7" s="15">
        <f>'Арт-Этюд'!A66</f>
        <v>3.64</v>
      </c>
      <c r="I7" s="15">
        <f>'Арт-Этюд'!B66</f>
        <v>2.73</v>
      </c>
      <c r="J7" s="16">
        <f>'Арт-Этюд'!C66</f>
        <v>24.19</v>
      </c>
    </row>
    <row r="8" spans="1:10" ht="15.75" thickBot="1" x14ac:dyDescent="0.3">
      <c r="A8" s="10"/>
      <c r="B8" s="109" t="s">
        <v>54</v>
      </c>
      <c r="C8" s="12" t="str">
        <f>'Арт-Этюд'!E67</f>
        <v>-</v>
      </c>
      <c r="D8" s="20" t="str">
        <f>'Арт-Этюд'!F67</f>
        <v>Хлеб ржаной</v>
      </c>
      <c r="E8" s="12">
        <f>'Арт-Этюд'!H67</f>
        <v>20</v>
      </c>
      <c r="F8" s="14">
        <f>'Арт-Этюд'!I67</f>
        <v>1.8</v>
      </c>
      <c r="G8" s="15">
        <f>'Арт-Этюд'!D67</f>
        <v>39</v>
      </c>
      <c r="H8" s="15">
        <f>'Арт-Этюд'!A67</f>
        <v>1.3</v>
      </c>
      <c r="I8" s="15">
        <f>'Арт-Этюд'!B67</f>
        <v>0.2</v>
      </c>
      <c r="J8" s="16">
        <f>'Арт-Этюд'!C67</f>
        <v>6.7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str">
        <f>'Арт-Этюд'!E72</f>
        <v>7/13</v>
      </c>
      <c r="D12" s="112" t="str">
        <f>'Арт-Этюд'!F72</f>
        <v>Салат из белокочанной капусты с кукурузой и растительным маслом</v>
      </c>
      <c r="E12" s="112">
        <f>'Арт-Этюд'!H72</f>
        <v>80</v>
      </c>
      <c r="F12" s="114">
        <f>'Арт-Этюд'!I72</f>
        <v>41.6</v>
      </c>
      <c r="G12" s="115">
        <f>'Арт-Этюд'!D72</f>
        <v>73.52</v>
      </c>
      <c r="H12" s="115">
        <f>'Арт-Этюд'!A72</f>
        <v>1.33</v>
      </c>
      <c r="I12" s="115">
        <f>'Арт-Этюд'!B72</f>
        <v>5.12</v>
      </c>
      <c r="J12" s="116">
        <f>'Арт-Этюд'!C72</f>
        <v>4.0999999999999996</v>
      </c>
    </row>
    <row r="13" spans="1:10" x14ac:dyDescent="0.25">
      <c r="A13" s="10"/>
      <c r="B13" s="17" t="s">
        <v>27</v>
      </c>
      <c r="C13" s="12" t="str">
        <f>'Арт-Этюд'!E73</f>
        <v>6/65</v>
      </c>
      <c r="D13" s="12" t="str">
        <f>'Арт-Этюд'!F73</f>
        <v>Суп-пюре из разных овощей с гренками</v>
      </c>
      <c r="E13" s="12">
        <f>'Арт-Этюд'!H73</f>
        <v>250</v>
      </c>
      <c r="F13" s="14">
        <f>'Арт-Этюд'!I73</f>
        <v>50</v>
      </c>
      <c r="G13" s="15">
        <f>'Арт-Этюд'!D73</f>
        <v>143.13</v>
      </c>
      <c r="H13" s="15">
        <f>'Арт-Этюд'!A73</f>
        <v>4.1100000000000003</v>
      </c>
      <c r="I13" s="15">
        <f>'Арт-Этюд'!B73</f>
        <v>4.7699999999999996</v>
      </c>
      <c r="J13" s="16">
        <f>'Арт-Этюд'!C73</f>
        <v>19.5</v>
      </c>
    </row>
    <row r="14" spans="1:10" x14ac:dyDescent="0.25">
      <c r="A14" s="10"/>
      <c r="B14" s="17" t="s">
        <v>28</v>
      </c>
      <c r="C14" s="12" t="str">
        <f>'Арт-Этюд'!E74</f>
        <v>9/17</v>
      </c>
      <c r="D14" s="12" t="str">
        <f>'Арт-Этюд'!F74</f>
        <v>Плов из птицы (филе бедра куриного) с куркумой</v>
      </c>
      <c r="E14" s="12">
        <f>'Арт-Этюд'!H74</f>
        <v>200</v>
      </c>
      <c r="F14" s="14">
        <f>'Арт-Этюд'!I74</f>
        <v>112.67</v>
      </c>
      <c r="G14" s="15">
        <f>'Арт-Этюд'!D74</f>
        <v>364.2</v>
      </c>
      <c r="H14" s="15">
        <f>'Арт-Этюд'!A74</f>
        <v>15.55</v>
      </c>
      <c r="I14" s="15">
        <f>'Арт-Этюд'!B74</f>
        <v>15.4</v>
      </c>
      <c r="J14" s="16">
        <f>'Арт-Этюд'!C74</f>
        <v>57.1</v>
      </c>
    </row>
    <row r="15" spans="1:10" x14ac:dyDescent="0.25">
      <c r="A15" s="10"/>
      <c r="B15" s="17" t="s">
        <v>29</v>
      </c>
      <c r="C15" s="12" t="str">
        <f>'Арт-Этюд'!E75</f>
        <v>11/7</v>
      </c>
      <c r="D15" s="12" t="str">
        <f>'Арт-Этюд'!F75</f>
        <v>Напиток из вишни</v>
      </c>
      <c r="E15" s="12">
        <f>'Арт-Этюд'!H75</f>
        <v>200</v>
      </c>
      <c r="F15" s="14">
        <f>'Арт-Этюд'!I75</f>
        <v>12.8</v>
      </c>
      <c r="G15" s="15">
        <f>'Арт-Этюд'!D75</f>
        <v>37.582527999999996</v>
      </c>
      <c r="H15" s="15">
        <f>'Арт-Этюд'!A75</f>
        <v>0.18</v>
      </c>
      <c r="I15" s="15">
        <f>'Арт-Этюд'!B75</f>
        <v>0.05</v>
      </c>
      <c r="J15" s="16">
        <f>'Арт-Этюд'!C75</f>
        <v>0.32</v>
      </c>
    </row>
    <row r="16" spans="1:10" x14ac:dyDescent="0.25">
      <c r="A16" s="10"/>
      <c r="B16" s="17" t="s">
        <v>30</v>
      </c>
      <c r="C16" s="12" t="str">
        <f>'Арт-Этюд'!E76</f>
        <v>-</v>
      </c>
      <c r="D16" s="12" t="str">
        <f>'Арт-Этюд'!F76</f>
        <v>Хлеб пшеничный витаминизированный</v>
      </c>
      <c r="E16" s="12">
        <f>'Арт-Этюд'!H76</f>
        <v>40</v>
      </c>
      <c r="F16" s="14">
        <f>'Арт-Этюд'!I76</f>
        <v>3.6</v>
      </c>
      <c r="G16" s="15">
        <f>'Арт-Этюд'!D76</f>
        <v>112</v>
      </c>
      <c r="H16" s="15">
        <f>'Арт-Этюд'!A76</f>
        <v>3.3</v>
      </c>
      <c r="I16" s="15">
        <f>'Арт-Этюд'!B76</f>
        <v>0.3</v>
      </c>
      <c r="J16" s="16">
        <f>'Арт-Этюд'!C76</f>
        <v>23.4</v>
      </c>
    </row>
    <row r="17" spans="1:10" x14ac:dyDescent="0.25">
      <c r="A17" s="10"/>
      <c r="B17" s="17" t="s">
        <v>31</v>
      </c>
      <c r="C17" s="12" t="str">
        <f>'Арт-Этюд'!E77</f>
        <v>-</v>
      </c>
      <c r="D17" s="12" t="str">
        <f>'Арт-Этюд'!F77</f>
        <v>Хлеб ржаной</v>
      </c>
      <c r="E17" s="12">
        <f>'Арт-Этюд'!H77</f>
        <v>40</v>
      </c>
      <c r="F17" s="14">
        <f>'Арт-Этюд'!I77</f>
        <v>3.6</v>
      </c>
      <c r="G17" s="15">
        <f>'Арт-Этюд'!D77</f>
        <v>58</v>
      </c>
      <c r="H17" s="15">
        <f>'Арт-Этюд'!A77</f>
        <v>2</v>
      </c>
      <c r="I17" s="15">
        <f>'Арт-Этюд'!B77</f>
        <v>0.4</v>
      </c>
      <c r="J17" s="16">
        <f>'Арт-Этюд'!C77</f>
        <v>10</v>
      </c>
    </row>
    <row r="18" spans="1:10" ht="15.75" thickBot="1" x14ac:dyDescent="0.3">
      <c r="A18" s="117"/>
      <c r="B18" s="118" t="s">
        <v>32</v>
      </c>
      <c r="C18" s="39">
        <f>'Арт-Этюд'!E78</f>
        <v>0</v>
      </c>
      <c r="D18" s="39">
        <f>'Арт-Этюд'!F78</f>
        <v>0</v>
      </c>
      <c r="E18" s="39">
        <f>'Арт-Этюд'!H78</f>
        <v>0</v>
      </c>
      <c r="F18" s="41">
        <f>'Арт-Этюд'!I78</f>
        <v>0</v>
      </c>
      <c r="G18" s="42">
        <f>'Арт-Этюд'!D78</f>
        <v>0</v>
      </c>
      <c r="H18" s="42">
        <f>'Арт-Этюд'!A78</f>
        <v>0</v>
      </c>
      <c r="I18" s="42">
        <f>'Арт-Этюд'!B78</f>
        <v>0</v>
      </c>
      <c r="J18" s="43">
        <f>'Арт-Этюд'!C78</f>
        <v>0</v>
      </c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Лист26"/>
  <dimension ref="A1:J18"/>
  <sheetViews>
    <sheetView zoomScaleNormal="100" workbookViewId="0">
      <selection activeCell="F4" sqref="F4:F5"/>
    </sheetView>
  </sheetViews>
  <sheetFormatPr defaultRowHeight="15" x14ac:dyDescent="0.25"/>
  <cols>
    <col min="1" max="1" width="13.42578125" customWidth="1"/>
    <col min="2" max="2" width="12" customWidth="1"/>
    <col min="3" max="3" width="7.5703125" style="3" customWidth="1"/>
    <col min="4" max="4" width="67.42578125" bestFit="1" customWidth="1"/>
    <col min="5" max="5" width="10.28515625" customWidth="1"/>
    <col min="6" max="6" width="8.7109375" customWidth="1"/>
    <col min="7" max="10" width="16.140625" customWidth="1"/>
    <col min="11" max="1025" width="8.7109375" customWidth="1"/>
  </cols>
  <sheetData>
    <row r="1" spans="1:10" x14ac:dyDescent="0.25">
      <c r="A1" t="s">
        <v>46</v>
      </c>
      <c r="B1" s="480" t="s">
        <v>69</v>
      </c>
      <c r="C1" s="480"/>
      <c r="D1" s="480"/>
      <c r="E1" t="s">
        <v>47</v>
      </c>
      <c r="F1" s="4"/>
      <c r="I1" t="s">
        <v>48</v>
      </c>
      <c r="J1" s="44">
        <v>45327</v>
      </c>
    </row>
    <row r="2" spans="1:10" ht="15.75" thickBot="1" x14ac:dyDescent="0.3"/>
    <row r="3" spans="1:10" ht="15.75" thickBot="1" x14ac:dyDescent="0.3">
      <c r="A3" s="6" t="s">
        <v>49</v>
      </c>
      <c r="B3" s="7" t="s">
        <v>11</v>
      </c>
      <c r="C3" s="8" t="s">
        <v>50</v>
      </c>
      <c r="D3" s="7" t="s">
        <v>51</v>
      </c>
      <c r="E3" s="7" t="s">
        <v>9</v>
      </c>
      <c r="F3" s="7" t="s">
        <v>52</v>
      </c>
      <c r="G3" s="7" t="s">
        <v>53</v>
      </c>
      <c r="H3" s="7" t="s">
        <v>12</v>
      </c>
      <c r="I3" s="7" t="s">
        <v>13</v>
      </c>
      <c r="J3" s="9" t="s">
        <v>14</v>
      </c>
    </row>
    <row r="4" spans="1:10" s="80" customFormat="1" x14ac:dyDescent="0.25">
      <c r="A4" s="105"/>
      <c r="B4" s="106" t="s">
        <v>54</v>
      </c>
      <c r="C4" s="12" t="str">
        <f>'Арт-Этюд'!E42</f>
        <v>1/57</v>
      </c>
      <c r="D4" s="20" t="str">
        <f>'Арт-Этюд'!F42</f>
        <v>Бутерброд с сыром и маслом на батоне витаминизированном 20/15/15 г</v>
      </c>
      <c r="E4" s="12">
        <f>'Арт-Этюд'!H42</f>
        <v>50</v>
      </c>
      <c r="F4" s="14">
        <f>'Арт-Этюд'!I42</f>
        <v>57.18</v>
      </c>
      <c r="G4" s="15">
        <f>'Арт-Этюд'!D42</f>
        <v>166.36</v>
      </c>
      <c r="H4" s="15">
        <f>'Арт-Этюд'!A42</f>
        <v>4.9800000000000004</v>
      </c>
      <c r="I4" s="15">
        <f>'Арт-Этюд'!B42</f>
        <v>6.4</v>
      </c>
      <c r="J4" s="16">
        <f>'Арт-Этюд'!C42</f>
        <v>10.28</v>
      </c>
    </row>
    <row r="5" spans="1:10" x14ac:dyDescent="0.25">
      <c r="A5" s="10" t="s">
        <v>19</v>
      </c>
      <c r="B5" s="11" t="s">
        <v>21</v>
      </c>
      <c r="C5" s="12" t="str">
        <f>'Арт-Этюд'!E43</f>
        <v>2/57</v>
      </c>
      <c r="D5" s="20" t="str">
        <f>'Арт-Этюд'!F43</f>
        <v>Каша ячневая молочная с маслом сливочным</v>
      </c>
      <c r="E5" s="12">
        <f>'Арт-Этюд'!H43</f>
        <v>250</v>
      </c>
      <c r="F5" s="14">
        <f>'Арт-Этюд'!I43</f>
        <v>61.17</v>
      </c>
      <c r="G5" s="15">
        <f>'Арт-Этюд'!D43</f>
        <v>326.39999999999998</v>
      </c>
      <c r="H5" s="15">
        <f>'Арт-Этюд'!A43</f>
        <v>14.36</v>
      </c>
      <c r="I5" s="15">
        <f>'Арт-Этюд'!B43</f>
        <v>10.5</v>
      </c>
      <c r="J5" s="16">
        <f>'Арт-Этюд'!C43</f>
        <v>50.3</v>
      </c>
    </row>
    <row r="6" spans="1:10" x14ac:dyDescent="0.25">
      <c r="A6" s="10"/>
      <c r="B6" s="17"/>
      <c r="C6" s="12" t="str">
        <f>'Арт-Этюд'!E44</f>
        <v>12/8</v>
      </c>
      <c r="D6" s="20" t="str">
        <f>'Арт-Этюд'!F44</f>
        <v>Соус из голубики</v>
      </c>
      <c r="E6" s="12">
        <f>'Арт-Этюд'!H44</f>
        <v>40</v>
      </c>
      <c r="F6" s="14">
        <f>'Арт-Этюд'!I44</f>
        <v>32.79</v>
      </c>
      <c r="G6" s="15">
        <f>'Арт-Этюд'!D44</f>
        <v>36.200000000000003</v>
      </c>
      <c r="H6" s="15">
        <f>'Арт-Этюд'!A44</f>
        <v>3.58</v>
      </c>
      <c r="I6" s="15">
        <f>'Арт-Этюд'!B44</f>
        <v>5.8</v>
      </c>
      <c r="J6" s="16">
        <f>'Арт-Этюд'!C44</f>
        <v>1.3</v>
      </c>
    </row>
    <row r="7" spans="1:10" x14ac:dyDescent="0.25">
      <c r="A7" s="10"/>
      <c r="B7" s="107" t="s">
        <v>22</v>
      </c>
      <c r="C7" s="12" t="str">
        <f>'Арт-Этюд'!E45</f>
        <v>11/59</v>
      </c>
      <c r="D7" s="20" t="str">
        <f>'Арт-Этюд'!F45</f>
        <v>Кофейный напиток</v>
      </c>
      <c r="E7" s="12">
        <f>'Арт-Этюд'!H45</f>
        <v>200</v>
      </c>
      <c r="F7" s="14">
        <f>'Арт-Этюд'!I45</f>
        <v>22.2</v>
      </c>
      <c r="G7" s="15">
        <f>'Арт-Этюд'!D45</f>
        <v>77.352000000000004</v>
      </c>
      <c r="H7" s="15">
        <f>'Арт-Этюд'!A45</f>
        <v>2.64</v>
      </c>
      <c r="I7" s="15">
        <f>'Арт-Этюд'!B45</f>
        <v>0.48</v>
      </c>
      <c r="J7" s="16">
        <f>'Арт-Этюд'!C45</f>
        <v>16.68</v>
      </c>
    </row>
    <row r="8" spans="1:10" ht="15.75" thickBot="1" x14ac:dyDescent="0.3">
      <c r="A8" s="10"/>
      <c r="B8" s="18" t="s">
        <v>54</v>
      </c>
      <c r="C8" s="12" t="str">
        <f>'Арт-Этюд'!E46</f>
        <v>-</v>
      </c>
      <c r="D8" s="20" t="str">
        <f>'Арт-Этюд'!F46</f>
        <v>Хлеб ржаной</v>
      </c>
      <c r="E8" s="12">
        <f>'Арт-Этюд'!H46</f>
        <v>40</v>
      </c>
      <c r="F8" s="14">
        <f>'Арт-Этюд'!I46</f>
        <v>3.6</v>
      </c>
      <c r="G8" s="15">
        <f>'Арт-Этюд'!D46</f>
        <v>77.352000000000004</v>
      </c>
      <c r="H8" s="15">
        <f>'Арт-Этюд'!A46</f>
        <v>2.64</v>
      </c>
      <c r="I8" s="15">
        <f>'Арт-Этюд'!B46</f>
        <v>0.48</v>
      </c>
      <c r="J8" s="16">
        <f>'Арт-Этюд'!C46</f>
        <v>16.68</v>
      </c>
    </row>
    <row r="9" spans="1:10" x14ac:dyDescent="0.25">
      <c r="A9" s="21" t="s">
        <v>55</v>
      </c>
      <c r="B9" s="22" t="s">
        <v>56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10"/>
      <c r="B10" s="18"/>
      <c r="C10" s="4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21" t="s">
        <v>25</v>
      </c>
      <c r="B12" s="111" t="s">
        <v>26</v>
      </c>
      <c r="C12" s="112" t="str">
        <f>'Арт-Этюд'!E51</f>
        <v>7/13</v>
      </c>
      <c r="D12" s="119" t="str">
        <f>'Арт-Этюд'!F51</f>
        <v>Салат из белокочанной капусты с кукурузой и растительным маслом</v>
      </c>
      <c r="E12" s="112">
        <f>'Арт-Этюд'!H51</f>
        <v>100</v>
      </c>
      <c r="F12" s="114">
        <f>'Арт-Этюд'!I51</f>
        <v>52.76</v>
      </c>
      <c r="G12" s="115">
        <f>'Арт-Этюд'!D51</f>
        <v>72.147796</v>
      </c>
      <c r="H12" s="115">
        <f>'Арт-Этюд'!A51</f>
        <v>2.2999999999999998</v>
      </c>
      <c r="I12" s="115">
        <f>'Арт-Этюд'!B51</f>
        <v>6.01</v>
      </c>
      <c r="J12" s="116">
        <f>'Арт-Этюд'!C51</f>
        <v>4.01</v>
      </c>
    </row>
    <row r="13" spans="1:10" x14ac:dyDescent="0.25">
      <c r="A13" s="10"/>
      <c r="B13" s="17" t="s">
        <v>27</v>
      </c>
      <c r="C13" s="12" t="str">
        <f>'Арт-Этюд'!E52</f>
        <v>6/65</v>
      </c>
      <c r="D13" s="20" t="str">
        <f>'Арт-Этюд'!F52</f>
        <v>Суп-пюре из разных овощей с гренками</v>
      </c>
      <c r="E13" s="12">
        <f>'Арт-Этюд'!H52</f>
        <v>250</v>
      </c>
      <c r="F13" s="14">
        <f>'Арт-Этюд'!I52</f>
        <v>50</v>
      </c>
      <c r="G13" s="15">
        <f>'Арт-Этюд'!D52</f>
        <v>213.5</v>
      </c>
      <c r="H13" s="15">
        <f>'Арт-Этюд'!A52</f>
        <v>4.1100000000000003</v>
      </c>
      <c r="I13" s="15">
        <f>'Арт-Этюд'!B52</f>
        <v>4.7699999999999996</v>
      </c>
      <c r="J13" s="16">
        <f>'Арт-Этюд'!C52</f>
        <v>26.5</v>
      </c>
    </row>
    <row r="14" spans="1:10" x14ac:dyDescent="0.25">
      <c r="A14" s="10"/>
      <c r="B14" s="17" t="s">
        <v>28</v>
      </c>
      <c r="C14" s="12" t="str">
        <f>'Арт-Этюд'!E53</f>
        <v>9/17</v>
      </c>
      <c r="D14" s="20" t="str">
        <f>'Арт-Этюд'!F53</f>
        <v>Плов из птицы (филе бедра куриного) с куркумой</v>
      </c>
      <c r="E14" s="12">
        <f>'Арт-Этюд'!H53</f>
        <v>250</v>
      </c>
      <c r="F14" s="14">
        <f>'Арт-Этюд'!I53</f>
        <v>140.84</v>
      </c>
      <c r="G14" s="15">
        <f>'Арт-Этюд'!D53</f>
        <v>265.7</v>
      </c>
      <c r="H14" s="15">
        <f>'Арт-Этюд'!A53</f>
        <v>17.5</v>
      </c>
      <c r="I14" s="15">
        <f>'Арт-Этюд'!B53</f>
        <v>15.6</v>
      </c>
      <c r="J14" s="16">
        <f>'Арт-Этюд'!C53</f>
        <v>42.3</v>
      </c>
    </row>
    <row r="15" spans="1:10" x14ac:dyDescent="0.25">
      <c r="A15" s="10"/>
      <c r="B15" s="17" t="s">
        <v>29</v>
      </c>
      <c r="C15" s="12" t="str">
        <f>'Арт-Этюд'!E54</f>
        <v>11/7</v>
      </c>
      <c r="D15" s="20" t="str">
        <f>'Арт-Этюд'!F54</f>
        <v>Напиток из вишни</v>
      </c>
      <c r="E15" s="12">
        <f>'Арт-Этюд'!H54</f>
        <v>200</v>
      </c>
      <c r="F15" s="14">
        <f>'Арт-Этюд'!I54</f>
        <v>12.8</v>
      </c>
      <c r="G15" s="15">
        <f>'Арт-Этюд'!D54</f>
        <v>170.19544859999999</v>
      </c>
      <c r="H15" s="15">
        <f>'Арт-Этюд'!A54</f>
        <v>3.94</v>
      </c>
      <c r="I15" s="15">
        <f>'Арт-Этюд'!B54</f>
        <v>5.1100000000000003</v>
      </c>
      <c r="J15" s="16">
        <f>'Арт-Этюд'!C54</f>
        <v>27.5</v>
      </c>
    </row>
    <row r="16" spans="1:10" x14ac:dyDescent="0.25">
      <c r="A16" s="10"/>
      <c r="B16" s="17" t="s">
        <v>30</v>
      </c>
      <c r="C16" s="12" t="str">
        <f>'Арт-Этюд'!E55</f>
        <v>-</v>
      </c>
      <c r="D16" s="20" t="str">
        <f>'Арт-Этюд'!F55</f>
        <v>Хлеб пшеничный витаминизированный</v>
      </c>
      <c r="E16" s="12">
        <f>'Арт-Этюд'!H55</f>
        <v>50</v>
      </c>
      <c r="F16" s="14">
        <f>'Арт-Этюд'!I55</f>
        <v>4.5</v>
      </c>
      <c r="G16" s="15">
        <f>'Арт-Этюд'!D55</f>
        <v>83.962620000000015</v>
      </c>
      <c r="H16" s="15">
        <f>'Арт-Этюд'!A55</f>
        <v>0.14000000000000001</v>
      </c>
      <c r="I16" s="15">
        <f>'Арт-Этюд'!B55</f>
        <v>0.1</v>
      </c>
      <c r="J16" s="16">
        <f>'Арт-Этюд'!C55</f>
        <v>1.5</v>
      </c>
    </row>
    <row r="17" spans="1:10" x14ac:dyDescent="0.25">
      <c r="A17" s="10"/>
      <c r="B17" s="17" t="s">
        <v>31</v>
      </c>
      <c r="C17" s="12" t="str">
        <f>'Арт-Этюд'!E56</f>
        <v>-</v>
      </c>
      <c r="D17" s="20" t="str">
        <f>'Арт-Этюд'!F56</f>
        <v>Хлеб ржаной</v>
      </c>
      <c r="E17" s="12">
        <f>'Арт-Этюд'!H56</f>
        <v>50</v>
      </c>
      <c r="F17" s="14">
        <f>'Арт-Этюд'!I56</f>
        <v>4.5</v>
      </c>
      <c r="G17" s="15">
        <f>'Арт-Этюд'!D56</f>
        <v>112</v>
      </c>
      <c r="H17" s="15">
        <f>'Арт-Этюд'!A56</f>
        <v>3.3</v>
      </c>
      <c r="I17" s="15">
        <f>'Арт-Этюд'!B56</f>
        <v>0.3</v>
      </c>
      <c r="J17" s="16">
        <f>'Арт-Этюд'!C56</f>
        <v>23.4</v>
      </c>
    </row>
    <row r="18" spans="1:10" ht="15.75" thickBot="1" x14ac:dyDescent="0.3">
      <c r="A18" s="117"/>
      <c r="B18" s="118" t="s">
        <v>32</v>
      </c>
      <c r="C18" s="39">
        <f>'Арт-Этюд'!E57</f>
        <v>0</v>
      </c>
      <c r="D18" s="40">
        <f>'Арт-Этюд'!F57</f>
        <v>0</v>
      </c>
      <c r="E18" s="39">
        <f>'Арт-Этюд'!H57</f>
        <v>0</v>
      </c>
      <c r="F18" s="41">
        <f>'Арт-Этюд'!I57</f>
        <v>0</v>
      </c>
      <c r="G18" s="42">
        <f>'Арт-Этюд'!D57</f>
        <v>0</v>
      </c>
      <c r="H18" s="42">
        <f>'Арт-Этюд'!A57</f>
        <v>0</v>
      </c>
      <c r="I18" s="42">
        <f>'Арт-Этюд'!B57</f>
        <v>0</v>
      </c>
      <c r="J18" s="43">
        <f>'Арт-Этюд'!C57</f>
        <v>0</v>
      </c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42</vt:i4>
      </vt:variant>
      <vt:variant>
        <vt:lpstr>Именованные диапазоны</vt:lpstr>
      </vt:variant>
      <vt:variant>
        <vt:i4>23</vt:i4>
      </vt:variant>
    </vt:vector>
  </HeadingPairs>
  <TitlesOfParts>
    <vt:vector size="65" baseType="lpstr">
      <vt:lpstr>Арт-Этюд</vt:lpstr>
      <vt:lpstr>16</vt:lpstr>
      <vt:lpstr>1 Мл</vt:lpstr>
      <vt:lpstr>1 Ст</vt:lpstr>
      <vt:lpstr>17</vt:lpstr>
      <vt:lpstr>19</vt:lpstr>
      <vt:lpstr>64</vt:lpstr>
      <vt:lpstr>85</vt:lpstr>
      <vt:lpstr>109-1</vt:lpstr>
      <vt:lpstr>109-2</vt:lpstr>
      <vt:lpstr>181-1</vt:lpstr>
      <vt:lpstr>181-2</vt:lpstr>
      <vt:lpstr>71</vt:lpstr>
      <vt:lpstr>3</vt:lpstr>
      <vt:lpstr>24</vt:lpstr>
      <vt:lpstr>36</vt:lpstr>
      <vt:lpstr>82</vt:lpstr>
      <vt:lpstr>96</vt:lpstr>
      <vt:lpstr>120</vt:lpstr>
      <vt:lpstr>140</vt:lpstr>
      <vt:lpstr>5-1</vt:lpstr>
      <vt:lpstr>5-2</vt:lpstr>
      <vt:lpstr>55</vt:lpstr>
      <vt:lpstr>154</vt:lpstr>
      <vt:lpstr>161</vt:lpstr>
      <vt:lpstr>Реестр</vt:lpstr>
      <vt:lpstr>16 Мл</vt:lpstr>
      <vt:lpstr>16 Ст</vt:lpstr>
      <vt:lpstr>17 Мл</vt:lpstr>
      <vt:lpstr>17 Ст</vt:lpstr>
      <vt:lpstr>19 Мл</vt:lpstr>
      <vt:lpstr>19 Ст</vt:lpstr>
      <vt:lpstr>64 Мл</vt:lpstr>
      <vt:lpstr>64 Ст</vt:lpstr>
      <vt:lpstr>85 Мл</vt:lpstr>
      <vt:lpstr>85 Ст</vt:lpstr>
      <vt:lpstr>109 Мл</vt:lpstr>
      <vt:lpstr>109 Ст</vt:lpstr>
      <vt:lpstr>181 Ст</vt:lpstr>
      <vt:lpstr>181 Мл</vt:lpstr>
      <vt:lpstr>АЭ Мл</vt:lpstr>
      <vt:lpstr>АЭ Ст</vt:lpstr>
      <vt:lpstr>'109-1'!Область_печати</vt:lpstr>
      <vt:lpstr>'109-2'!Область_печати</vt:lpstr>
      <vt:lpstr>'120'!Область_печати</vt:lpstr>
      <vt:lpstr>'140'!Область_печати</vt:lpstr>
      <vt:lpstr>'154'!Область_печати</vt:lpstr>
      <vt:lpstr>'16'!Область_печати</vt:lpstr>
      <vt:lpstr>'161'!Область_печати</vt:lpstr>
      <vt:lpstr>'17'!Область_печати</vt:lpstr>
      <vt:lpstr>'181-1'!Область_печати</vt:lpstr>
      <vt:lpstr>'181-2'!Область_печати</vt:lpstr>
      <vt:lpstr>'19'!Область_печати</vt:lpstr>
      <vt:lpstr>'24'!Область_печати</vt:lpstr>
      <vt:lpstr>'3'!Область_печати</vt:lpstr>
      <vt:lpstr>'36'!Область_печати</vt:lpstr>
      <vt:lpstr>'5-1'!Область_печати</vt:lpstr>
      <vt:lpstr>'5-2'!Область_печати</vt:lpstr>
      <vt:lpstr>'55'!Область_печати</vt:lpstr>
      <vt:lpstr>'64'!Область_печати</vt:lpstr>
      <vt:lpstr>'71'!Область_печати</vt:lpstr>
      <vt:lpstr>'82'!Область_печати</vt:lpstr>
      <vt:lpstr>'85'!Область_печати</vt:lpstr>
      <vt:lpstr>'96'!Область_печати</vt:lpstr>
      <vt:lpstr>'Арт-Этюд'!Область_печати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МАОУ СОШ № 19</cp:lastModifiedBy>
  <cp:revision>45</cp:revision>
  <cp:lastPrinted>2026-10-01T06:29:58Z</cp:lastPrinted>
  <dcterms:created xsi:type="dcterms:W3CDTF">2006-09-28T05:33:49Z</dcterms:created>
  <dcterms:modified xsi:type="dcterms:W3CDTF">2026-10-08T06:00:03Z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